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DFIN\CONTABILIDADE\Demonstrações Contábeis e Notas explicativas 2022\4 trimestre 2022\"/>
    </mc:Choice>
  </mc:AlternateContent>
  <bookViews>
    <workbookView xWindow="-120" yWindow="-120" windowWidth="20730" windowHeight="11160"/>
  </bookViews>
  <sheets>
    <sheet name="ATIVO" sheetId="7" r:id="rId1"/>
    <sheet name="PASSIVO " sheetId="8" r:id="rId2"/>
    <sheet name="DRE" sheetId="20" state="hidden" r:id="rId3"/>
    <sheet name="DRE " sheetId="19" r:id="rId4"/>
    <sheet name="DFC" sheetId="21" state="hidden" r:id="rId5"/>
    <sheet name="Página1 (2)" sheetId="27" state="hidden" r:id="rId6"/>
    <sheet name="ACUMULADO 2020" sheetId="23" state="hidden" r:id="rId7"/>
    <sheet name="ACUM 2019 (2)" sheetId="13" state="hidden" r:id="rId8"/>
    <sheet name="DFC " sheetId="37" r:id="rId9"/>
    <sheet name="Planilha1" sheetId="42" state="hidden" r:id="rId10"/>
    <sheet name="DMPL22 trimestral" sheetId="41" r:id="rId11"/>
    <sheet name="D.R.A" sheetId="43" r:id="rId12"/>
    <sheet name="DMPL20" sheetId="25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6" hidden="1">'ACUMULADO 2020'!$A$1:$J$881</definedName>
    <definedName name="_xlnm._FilterDatabase" localSheetId="11" hidden="1">D.R.A!#REF!</definedName>
    <definedName name="_xlnm._FilterDatabase" localSheetId="2" hidden="1">DRE!#REF!</definedName>
    <definedName name="_xlnm._FilterDatabase" localSheetId="3" hidden="1">'DRE '!#REF!</definedName>
    <definedName name="_xlnm._FilterDatabase" localSheetId="5" hidden="1">'Página1 (2)'!$A$1:$K$210</definedName>
    <definedName name="_xlnm._FilterDatabase" localSheetId="1" hidden="1">'PASSIVO '!$A$45:$A$45</definedName>
    <definedName name="_ftn1" localSheetId="12">DMPL20!#REF!</definedName>
    <definedName name="_ftn1" localSheetId="10">'DMPL22 trimestral'!#REF!</definedName>
    <definedName name="_ftnref1" localSheetId="12">DMPL20!#REF!</definedName>
    <definedName name="_ftnref1" localSheetId="10">'DMPL22 trimestral'!#REF!</definedName>
    <definedName name="_xlnm.Print_Area" localSheetId="0">ATIVO!$A$1:$G$70</definedName>
    <definedName name="_xlnm.Print_Area" localSheetId="11">D.R.A!$A$1:$J$64</definedName>
    <definedName name="_xlnm.Print_Area" localSheetId="4">DFC!$A$6:$N$86</definedName>
    <definedName name="_xlnm.Print_Area" localSheetId="8">'DFC '!$A$6:$O$90</definedName>
    <definedName name="_xlnm.Print_Area" localSheetId="12">DMPL20!$B$6:$J$56</definedName>
    <definedName name="_xlnm.Print_Area" localSheetId="10">'DMPL22 trimestral'!$A$13:$I$56</definedName>
    <definedName name="_xlnm.Print_Area" localSheetId="2">DRE!$A$2:$L$55</definedName>
    <definedName name="_xlnm.Print_Area" localSheetId="3">'DRE '!$A$4:$M$56</definedName>
    <definedName name="_xlnm.Print_Area" localSheetId="1">'PASSIVO '!$A$1:$G$73</definedName>
    <definedName name="_xlnm.Print_Titles" localSheetId="0">ATIVO!$1:$22</definedName>
    <definedName name="_xlnm.Print_Titles" localSheetId="1">'PASSIVO '!$1:$24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41" l="1"/>
  <c r="E58" i="7" l="1"/>
  <c r="E35" i="7"/>
  <c r="E34" i="7"/>
  <c r="H36" i="41" l="1"/>
  <c r="H42" i="41" s="1"/>
  <c r="E36" i="41"/>
  <c r="I53" i="41" l="1"/>
  <c r="I52" i="41"/>
  <c r="I51" i="41"/>
  <c r="I50" i="41"/>
  <c r="F83" i="37"/>
  <c r="O41" i="37"/>
  <c r="L23" i="37" l="1"/>
  <c r="L67" i="37"/>
  <c r="L22" i="37"/>
  <c r="F56" i="37"/>
  <c r="L20" i="37" l="1"/>
  <c r="D47" i="8"/>
  <c r="D53" i="8"/>
  <c r="D50" i="8"/>
  <c r="D26" i="8"/>
  <c r="L75" i="37"/>
  <c r="L76" i="37"/>
  <c r="O52" i="37"/>
  <c r="L50" i="37"/>
  <c r="L41" i="37" s="1"/>
  <c r="L62" i="37"/>
  <c r="L61" i="37"/>
  <c r="L58" i="37"/>
  <c r="L57" i="37"/>
  <c r="L55" i="37"/>
  <c r="L54" i="37"/>
  <c r="L53" i="37"/>
  <c r="L36" i="37"/>
  <c r="L35" i="37"/>
  <c r="L34" i="37"/>
  <c r="L33" i="37"/>
  <c r="L32" i="37"/>
  <c r="L31" i="37"/>
  <c r="L30" i="37"/>
  <c r="J51" i="19"/>
  <c r="J45" i="19" s="1"/>
  <c r="C45" i="19"/>
  <c r="J40" i="19"/>
  <c r="J39" i="19"/>
  <c r="J32" i="19"/>
  <c r="J26" i="19"/>
  <c r="C39" i="19"/>
  <c r="C40" i="19"/>
  <c r="C32" i="19"/>
  <c r="C26" i="19"/>
  <c r="D63" i="8"/>
  <c r="L52" i="37" l="1"/>
  <c r="L73" i="37"/>
  <c r="L29" i="37"/>
  <c r="J30" i="19"/>
  <c r="F39" i="37"/>
  <c r="F78" i="37"/>
  <c r="F77" i="37"/>
  <c r="F67" i="37"/>
  <c r="F66" i="37"/>
  <c r="F46" i="37"/>
  <c r="F47" i="37"/>
  <c r="F50" i="37"/>
  <c r="F49" i="37"/>
  <c r="F62" i="37"/>
  <c r="F61" i="37"/>
  <c r="F60" i="37"/>
  <c r="F59" i="37"/>
  <c r="F58" i="37"/>
  <c r="F57" i="37"/>
  <c r="F55" i="37"/>
  <c r="F54" i="37"/>
  <c r="F53" i="37"/>
  <c r="F45" i="37"/>
  <c r="F44" i="37"/>
  <c r="F42" i="37"/>
  <c r="F36" i="37"/>
  <c r="F35" i="37"/>
  <c r="F34" i="37"/>
  <c r="F33" i="37"/>
  <c r="F32" i="37"/>
  <c r="F31" i="37"/>
  <c r="F30" i="37"/>
  <c r="F29" i="37" s="1"/>
  <c r="F22" i="37"/>
  <c r="F21" i="37"/>
  <c r="E40" i="19"/>
  <c r="E39" i="19"/>
  <c r="E32" i="19"/>
  <c r="E30" i="19" s="1"/>
  <c r="E26" i="19"/>
  <c r="L40" i="19"/>
  <c r="L39" i="19"/>
  <c r="L32" i="19"/>
  <c r="L26" i="19"/>
  <c r="L28" i="19" s="1"/>
  <c r="F52" i="37" l="1"/>
  <c r="C30" i="19"/>
  <c r="C28" i="19"/>
  <c r="D61" i="8"/>
  <c r="D60" i="8"/>
  <c r="D58" i="8"/>
  <c r="D57" i="8"/>
  <c r="D49" i="8"/>
  <c r="D48" i="8"/>
  <c r="D45" i="8" s="1"/>
  <c r="D43" i="8" s="1"/>
  <c r="E64" i="7"/>
  <c r="E60" i="7"/>
  <c r="E44" i="7"/>
  <c r="E40" i="7"/>
  <c r="E37" i="7"/>
  <c r="E36" i="7"/>
  <c r="E31" i="7" s="1"/>
  <c r="E28" i="7"/>
  <c r="E25" i="7" s="1"/>
  <c r="E23" i="7" s="1"/>
  <c r="D55" i="8" l="1"/>
  <c r="L86" i="37"/>
  <c r="C37" i="19"/>
  <c r="C43" i="19" s="1"/>
  <c r="C53" i="19" s="1"/>
  <c r="I49" i="41" s="1"/>
  <c r="F48" i="8"/>
  <c r="D25" i="43"/>
  <c r="H48" i="41"/>
  <c r="H54" i="41" s="1"/>
  <c r="F25" i="43" l="1"/>
  <c r="F30" i="43" s="1"/>
  <c r="D30" i="43"/>
  <c r="I33" i="41"/>
  <c r="G31" i="41" l="1"/>
  <c r="G36" i="41" s="1"/>
  <c r="G42" i="41" s="1"/>
  <c r="F31" i="41"/>
  <c r="F36" i="41" s="1"/>
  <c r="D31" i="41"/>
  <c r="D36" i="41" s="1"/>
  <c r="C31" i="41"/>
  <c r="C36" i="41" s="1"/>
  <c r="I26" i="41"/>
  <c r="I36" i="41" l="1"/>
  <c r="I47" i="41"/>
  <c r="I46" i="41"/>
  <c r="I45" i="41"/>
  <c r="I44" i="41"/>
  <c r="O85" i="37"/>
  <c r="I77" i="37" l="1"/>
  <c r="I49" i="37"/>
  <c r="I48" i="37"/>
  <c r="I47" i="37"/>
  <c r="I46" i="37"/>
  <c r="I61" i="37"/>
  <c r="I60" i="37"/>
  <c r="I58" i="37"/>
  <c r="I57" i="37"/>
  <c r="I55" i="37"/>
  <c r="I54" i="37"/>
  <c r="I53" i="37"/>
  <c r="I22" i="37"/>
  <c r="I67" i="37"/>
  <c r="I45" i="37"/>
  <c r="I42" i="37"/>
  <c r="I36" i="37"/>
  <c r="I35" i="37"/>
  <c r="I34" i="37"/>
  <c r="I33" i="37"/>
  <c r="I32" i="37"/>
  <c r="I31" i="37"/>
  <c r="I30" i="37"/>
  <c r="I86" i="37"/>
  <c r="I85" i="37"/>
  <c r="I21" i="37"/>
  <c r="I83" i="37" l="1"/>
  <c r="I52" i="37"/>
  <c r="I20" i="37"/>
  <c r="I41" i="37"/>
  <c r="F20" i="37"/>
  <c r="D68" i="8"/>
  <c r="D70" i="8" s="1"/>
  <c r="F43" i="37" l="1"/>
  <c r="F41" i="37" s="1"/>
  <c r="F64" i="37"/>
  <c r="F73" i="37" l="1"/>
  <c r="O83" i="37" l="1"/>
  <c r="O29" i="37"/>
  <c r="O20" i="37"/>
  <c r="L70" i="37"/>
  <c r="L64" i="37" s="1"/>
  <c r="L30" i="19" l="1"/>
  <c r="L37" i="19" s="1"/>
  <c r="L43" i="19" l="1"/>
  <c r="L53" i="19" s="1"/>
  <c r="O18" i="37" s="1"/>
  <c r="O16" i="37" l="1"/>
  <c r="O88" i="37" s="1"/>
  <c r="I29" i="37"/>
  <c r="I64" i="37"/>
  <c r="I73" i="37"/>
  <c r="I88" i="37" l="1"/>
  <c r="I41" i="41"/>
  <c r="I39" i="41"/>
  <c r="F40" i="41"/>
  <c r="I37" i="41"/>
  <c r="E38" i="41"/>
  <c r="E42" i="41" s="1"/>
  <c r="D38" i="41"/>
  <c r="D42" i="41" s="1"/>
  <c r="C38" i="41"/>
  <c r="J28" i="19"/>
  <c r="J37" i="19" s="1"/>
  <c r="J43" i="19" s="1"/>
  <c r="I40" i="41" l="1"/>
  <c r="F42" i="41"/>
  <c r="I38" i="41"/>
  <c r="C42" i="41"/>
  <c r="J53" i="19"/>
  <c r="P53" i="19" s="1"/>
  <c r="I35" i="41"/>
  <c r="I34" i="41"/>
  <c r="I32" i="41"/>
  <c r="L18" i="37" l="1"/>
  <c r="L16" i="37" s="1"/>
  <c r="L88" i="37" s="1"/>
  <c r="F63" i="8"/>
  <c r="F61" i="8"/>
  <c r="F60" i="8"/>
  <c r="F58" i="8"/>
  <c r="F57" i="8"/>
  <c r="F51" i="8"/>
  <c r="F50" i="8"/>
  <c r="F49" i="8"/>
  <c r="F40" i="8"/>
  <c r="F39" i="8"/>
  <c r="F38" i="8"/>
  <c r="F37" i="8"/>
  <c r="F36" i="8"/>
  <c r="F35" i="8"/>
  <c r="F33" i="8"/>
  <c r="F31" i="8"/>
  <c r="F29" i="8"/>
  <c r="F28" i="8"/>
  <c r="G60" i="7"/>
  <c r="G58" i="7"/>
  <c r="G56" i="7"/>
  <c r="G54" i="7"/>
  <c r="G53" i="7"/>
  <c r="G51" i="7"/>
  <c r="G44" i="7"/>
  <c r="G42" i="7"/>
  <c r="G40" i="7"/>
  <c r="G37" i="7"/>
  <c r="G36" i="7"/>
  <c r="G35" i="7"/>
  <c r="G34" i="7"/>
  <c r="G28" i="7"/>
  <c r="G27" i="7"/>
  <c r="F45" i="8" l="1"/>
  <c r="F30" i="8"/>
  <c r="F26" i="8" s="1"/>
  <c r="G49" i="7" l="1"/>
  <c r="G47" i="7" s="1"/>
  <c r="G31" i="7"/>
  <c r="G25" i="7"/>
  <c r="L85" i="37" s="1"/>
  <c r="L83" i="37" l="1"/>
  <c r="G23" i="7"/>
  <c r="G67" i="7" s="1"/>
  <c r="I29" i="41" l="1"/>
  <c r="I28" i="41"/>
  <c r="I27" i="41"/>
  <c r="I30" i="41"/>
  <c r="C48" i="41" l="1"/>
  <c r="C54" i="41" s="1"/>
  <c r="E48" i="41"/>
  <c r="E54" i="41" s="1"/>
  <c r="F48" i="41"/>
  <c r="F54" i="41" s="1"/>
  <c r="D48" i="41"/>
  <c r="D54" i="41" s="1"/>
  <c r="G48" i="41" l="1"/>
  <c r="G54" i="41" s="1"/>
  <c r="I42" i="41"/>
  <c r="E28" i="19"/>
  <c r="E37" i="19" s="1"/>
  <c r="E43" i="19" l="1"/>
  <c r="E53" i="19" s="1"/>
  <c r="I18" i="37" s="1"/>
  <c r="I48" i="41" l="1"/>
  <c r="F18" i="37"/>
  <c r="F16" i="37" s="1"/>
  <c r="F88" i="37" s="1"/>
  <c r="E49" i="7"/>
  <c r="E47" i="7" s="1"/>
  <c r="E67" i="7" s="1"/>
  <c r="I43" i="41" l="1"/>
  <c r="D66" i="8"/>
  <c r="F22" i="8" l="1"/>
  <c r="F66" i="8"/>
  <c r="F55" i="8"/>
  <c r="F43" i="8"/>
  <c r="F70" i="8" l="1"/>
  <c r="H75" i="25" l="1"/>
  <c r="G76" i="25"/>
  <c r="I76" i="25" l="1"/>
  <c r="I75" i="25"/>
  <c r="I74" i="25"/>
  <c r="I73" i="25"/>
  <c r="B20" i="25" l="1"/>
  <c r="D22" i="8"/>
  <c r="A14" i="8"/>
  <c r="H48" i="25"/>
  <c r="G33" i="20"/>
  <c r="G32" i="20"/>
  <c r="K33" i="20"/>
  <c r="K32" i="20"/>
  <c r="P33" i="20"/>
  <c r="P32" i="20"/>
  <c r="P28" i="20"/>
  <c r="O33" i="20"/>
  <c r="O32" i="20"/>
  <c r="P30" i="20" l="1"/>
  <c r="P37" i="20" s="1"/>
  <c r="P43" i="20" s="1"/>
  <c r="P52" i="20" s="1"/>
  <c r="M34" i="20" l="1"/>
  <c r="M33" i="20"/>
  <c r="I33" i="20"/>
  <c r="O112" i="27" l="1"/>
  <c r="K194" i="27" l="1"/>
  <c r="L194" i="27" s="1"/>
  <c r="K193" i="27"/>
  <c r="L193" i="27" s="1"/>
  <c r="K192" i="27"/>
  <c r="L192" i="27" s="1"/>
  <c r="K191" i="27"/>
  <c r="L191" i="27" s="1"/>
  <c r="K190" i="27"/>
  <c r="L190" i="27" s="1"/>
  <c r="K189" i="27"/>
  <c r="L189" i="27" s="1"/>
  <c r="K188" i="27"/>
  <c r="L188" i="27" s="1"/>
  <c r="K187" i="27"/>
  <c r="L187" i="27" s="1"/>
  <c r="K186" i="27"/>
  <c r="L186" i="27" s="1"/>
  <c r="K185" i="27"/>
  <c r="L185" i="27" s="1"/>
  <c r="K184" i="27"/>
  <c r="L184" i="27" s="1"/>
  <c r="K183" i="27"/>
  <c r="L183" i="27" s="1"/>
  <c r="K182" i="27"/>
  <c r="L182" i="27" s="1"/>
  <c r="K181" i="27"/>
  <c r="L181" i="27" s="1"/>
  <c r="K180" i="27"/>
  <c r="L180" i="27" s="1"/>
  <c r="K179" i="27"/>
  <c r="L179" i="27" s="1"/>
  <c r="K178" i="27"/>
  <c r="L178" i="27" s="1"/>
  <c r="K177" i="27"/>
  <c r="L177" i="27" s="1"/>
  <c r="K176" i="27"/>
  <c r="L176" i="27" s="1"/>
  <c r="K175" i="27"/>
  <c r="L175" i="27" s="1"/>
  <c r="K174" i="27"/>
  <c r="L174" i="27" s="1"/>
  <c r="K173" i="27"/>
  <c r="L173" i="27" s="1"/>
  <c r="K172" i="27"/>
  <c r="L172" i="27" s="1"/>
  <c r="K171" i="27"/>
  <c r="L171" i="27" s="1"/>
  <c r="K170" i="27"/>
  <c r="L170" i="27" s="1"/>
  <c r="K169" i="27"/>
  <c r="L169" i="27" s="1"/>
  <c r="K168" i="27"/>
  <c r="L168" i="27" s="1"/>
  <c r="K167" i="27"/>
  <c r="L167" i="27" s="1"/>
  <c r="K166" i="27"/>
  <c r="L166" i="27" s="1"/>
  <c r="K165" i="27"/>
  <c r="L165" i="27" s="1"/>
  <c r="K164" i="27"/>
  <c r="L164" i="27" s="1"/>
  <c r="K163" i="27"/>
  <c r="L163" i="27" s="1"/>
  <c r="K162" i="27"/>
  <c r="L162" i="27" s="1"/>
  <c r="K161" i="27"/>
  <c r="L161" i="27" s="1"/>
  <c r="K160" i="27"/>
  <c r="L160" i="27" s="1"/>
  <c r="K159" i="27"/>
  <c r="L159" i="27" s="1"/>
  <c r="K158" i="27"/>
  <c r="L158" i="27" s="1"/>
  <c r="K157" i="27"/>
  <c r="L157" i="27" s="1"/>
  <c r="K156" i="27"/>
  <c r="L156" i="27" s="1"/>
  <c r="K155" i="27"/>
  <c r="L155" i="27" s="1"/>
  <c r="K154" i="27"/>
  <c r="L154" i="27" s="1"/>
  <c r="K153" i="27"/>
  <c r="L153" i="27" s="1"/>
  <c r="K152" i="27"/>
  <c r="L152" i="27" s="1"/>
  <c r="K151" i="27"/>
  <c r="L151" i="27" s="1"/>
  <c r="K150" i="27"/>
  <c r="L150" i="27" s="1"/>
  <c r="K149" i="27"/>
  <c r="L149" i="27" s="1"/>
  <c r="K148" i="27"/>
  <c r="L148" i="27" s="1"/>
  <c r="K147" i="27"/>
  <c r="L147" i="27" s="1"/>
  <c r="K146" i="27"/>
  <c r="L146" i="27" s="1"/>
  <c r="K145" i="27"/>
  <c r="L145" i="27" s="1"/>
  <c r="K144" i="27"/>
  <c r="L144" i="27" s="1"/>
  <c r="K143" i="27"/>
  <c r="L143" i="27" s="1"/>
  <c r="K142" i="27"/>
  <c r="L142" i="27" s="1"/>
  <c r="K141" i="27"/>
  <c r="L141" i="27" s="1"/>
  <c r="K140" i="27"/>
  <c r="L140" i="27" s="1"/>
  <c r="K139" i="27"/>
  <c r="L139" i="27" s="1"/>
  <c r="K138" i="27"/>
  <c r="L138" i="27" s="1"/>
  <c r="K137" i="27"/>
  <c r="L137" i="27" s="1"/>
  <c r="K136" i="27"/>
  <c r="L136" i="27" s="1"/>
  <c r="K135" i="27"/>
  <c r="L135" i="27" s="1"/>
  <c r="K134" i="27"/>
  <c r="L134" i="27" s="1"/>
  <c r="K133" i="27"/>
  <c r="L133" i="27" s="1"/>
  <c r="K132" i="27"/>
  <c r="L132" i="27" s="1"/>
  <c r="K131" i="27"/>
  <c r="L131" i="27" s="1"/>
  <c r="K130" i="27"/>
  <c r="L130" i="27" s="1"/>
  <c r="K129" i="27"/>
  <c r="L129" i="27" s="1"/>
  <c r="K128" i="27"/>
  <c r="L128" i="27" s="1"/>
  <c r="K127" i="27"/>
  <c r="L127" i="27" s="1"/>
  <c r="K126" i="27"/>
  <c r="L126" i="27" s="1"/>
  <c r="K125" i="27"/>
  <c r="L125" i="27" s="1"/>
  <c r="K124" i="27"/>
  <c r="L124" i="27" s="1"/>
  <c r="K123" i="27"/>
  <c r="L123" i="27" s="1"/>
  <c r="K122" i="27"/>
  <c r="L122" i="27" s="1"/>
  <c r="K121" i="27"/>
  <c r="L121" i="27" s="1"/>
  <c r="K120" i="27"/>
  <c r="L120" i="27" s="1"/>
  <c r="K119" i="27"/>
  <c r="L119" i="27" s="1"/>
  <c r="K118" i="27"/>
  <c r="L118" i="27" s="1"/>
  <c r="K117" i="27"/>
  <c r="L117" i="27" s="1"/>
  <c r="K116" i="27"/>
  <c r="L116" i="27" s="1"/>
  <c r="K115" i="27"/>
  <c r="L115" i="27" s="1"/>
  <c r="K114" i="27"/>
  <c r="L114" i="27" s="1"/>
  <c r="K113" i="27"/>
  <c r="L113" i="27" s="1"/>
  <c r="K112" i="27"/>
  <c r="L112" i="27" s="1"/>
  <c r="K111" i="27"/>
  <c r="L111" i="27" s="1"/>
  <c r="K110" i="27"/>
  <c r="L110" i="27" s="1"/>
  <c r="K109" i="27"/>
  <c r="L109" i="27" s="1"/>
  <c r="K108" i="27"/>
  <c r="L108" i="27" s="1"/>
  <c r="K107" i="27"/>
  <c r="L107" i="27" s="1"/>
  <c r="K106" i="27"/>
  <c r="L106" i="27" s="1"/>
  <c r="K105" i="27"/>
  <c r="L105" i="27" s="1"/>
  <c r="K104" i="27"/>
  <c r="L104" i="27" s="1"/>
  <c r="K103" i="27"/>
  <c r="L103" i="27" s="1"/>
  <c r="K102" i="27"/>
  <c r="L102" i="27" s="1"/>
  <c r="K101" i="27"/>
  <c r="L101" i="27" s="1"/>
  <c r="K100" i="27"/>
  <c r="L100" i="27" s="1"/>
  <c r="K99" i="27"/>
  <c r="L99" i="27" s="1"/>
  <c r="K98" i="27"/>
  <c r="L98" i="27" s="1"/>
  <c r="K97" i="27"/>
  <c r="L97" i="27" s="1"/>
  <c r="K96" i="27"/>
  <c r="L96" i="27" s="1"/>
  <c r="K95" i="27"/>
  <c r="L95" i="27" s="1"/>
  <c r="K94" i="27"/>
  <c r="L94" i="27" s="1"/>
  <c r="K93" i="27"/>
  <c r="L93" i="27" s="1"/>
  <c r="K92" i="27"/>
  <c r="L92" i="27" s="1"/>
  <c r="K91" i="27"/>
  <c r="L91" i="27" s="1"/>
  <c r="K90" i="27"/>
  <c r="L90" i="27" s="1"/>
  <c r="K89" i="27"/>
  <c r="L89" i="27" s="1"/>
  <c r="K88" i="27"/>
  <c r="L88" i="27" s="1"/>
  <c r="K87" i="27"/>
  <c r="L87" i="27" s="1"/>
  <c r="K86" i="27"/>
  <c r="L86" i="27" s="1"/>
  <c r="K85" i="27"/>
  <c r="L85" i="27" s="1"/>
  <c r="K84" i="27"/>
  <c r="L84" i="27" s="1"/>
  <c r="K83" i="27"/>
  <c r="L83" i="27" s="1"/>
  <c r="K82" i="27"/>
  <c r="L82" i="27" s="1"/>
  <c r="K81" i="27"/>
  <c r="L81" i="27" s="1"/>
  <c r="K80" i="27"/>
  <c r="L80" i="27" s="1"/>
  <c r="K79" i="27"/>
  <c r="L79" i="27" s="1"/>
  <c r="K78" i="27"/>
  <c r="L78" i="27" s="1"/>
  <c r="K77" i="27"/>
  <c r="L77" i="27" s="1"/>
  <c r="K76" i="27"/>
  <c r="L76" i="27" s="1"/>
  <c r="K75" i="27"/>
  <c r="L75" i="27" s="1"/>
  <c r="K74" i="27"/>
  <c r="L74" i="27" s="1"/>
  <c r="K73" i="27"/>
  <c r="L73" i="27" s="1"/>
  <c r="K72" i="27"/>
  <c r="L72" i="27" s="1"/>
  <c r="K71" i="27"/>
  <c r="L71" i="27" s="1"/>
  <c r="K70" i="27"/>
  <c r="L70" i="27" s="1"/>
  <c r="K69" i="27"/>
  <c r="L69" i="27" s="1"/>
  <c r="K68" i="27"/>
  <c r="L68" i="27" s="1"/>
  <c r="K67" i="27"/>
  <c r="L67" i="27" s="1"/>
  <c r="K66" i="27"/>
  <c r="L66" i="27" s="1"/>
  <c r="K65" i="27"/>
  <c r="L65" i="27" s="1"/>
  <c r="K64" i="27"/>
  <c r="L64" i="27" s="1"/>
  <c r="K63" i="27"/>
  <c r="L63" i="27" s="1"/>
  <c r="K62" i="27"/>
  <c r="L62" i="27" s="1"/>
  <c r="K61" i="27"/>
  <c r="L61" i="27" s="1"/>
  <c r="K60" i="27"/>
  <c r="L60" i="27" s="1"/>
  <c r="K59" i="27"/>
  <c r="L59" i="27" s="1"/>
  <c r="K58" i="27"/>
  <c r="L58" i="27" s="1"/>
  <c r="K57" i="27"/>
  <c r="L57" i="27" s="1"/>
  <c r="K56" i="27"/>
  <c r="L56" i="27" s="1"/>
  <c r="K55" i="27"/>
  <c r="L55" i="27" s="1"/>
  <c r="K54" i="27"/>
  <c r="L54" i="27" s="1"/>
  <c r="K53" i="27"/>
  <c r="L53" i="27" s="1"/>
  <c r="K52" i="27"/>
  <c r="L52" i="27" s="1"/>
  <c r="K51" i="27"/>
  <c r="L51" i="27" s="1"/>
  <c r="K50" i="27"/>
  <c r="L50" i="27" s="1"/>
  <c r="K49" i="27"/>
  <c r="L49" i="27" s="1"/>
  <c r="K48" i="27"/>
  <c r="L48" i="27" s="1"/>
  <c r="K47" i="27"/>
  <c r="L47" i="27" s="1"/>
  <c r="K46" i="27"/>
  <c r="L46" i="27" s="1"/>
  <c r="K45" i="27"/>
  <c r="L45" i="27" s="1"/>
  <c r="K44" i="27"/>
  <c r="L44" i="27" s="1"/>
  <c r="K43" i="27"/>
  <c r="L43" i="27" s="1"/>
  <c r="K42" i="27"/>
  <c r="L42" i="27" s="1"/>
  <c r="K41" i="27"/>
  <c r="L41" i="27" s="1"/>
  <c r="K40" i="27"/>
  <c r="L40" i="27" s="1"/>
  <c r="K39" i="27"/>
  <c r="L39" i="27" s="1"/>
  <c r="K38" i="27"/>
  <c r="L38" i="27" s="1"/>
  <c r="K37" i="27"/>
  <c r="L37" i="27" s="1"/>
  <c r="K36" i="27"/>
  <c r="L36" i="27" s="1"/>
  <c r="K35" i="27"/>
  <c r="L35" i="27" s="1"/>
  <c r="K34" i="27"/>
  <c r="L34" i="27" s="1"/>
  <c r="K33" i="27"/>
  <c r="L33" i="27" s="1"/>
  <c r="K32" i="27"/>
  <c r="L32" i="27" s="1"/>
  <c r="K31" i="27"/>
  <c r="L31" i="27" s="1"/>
  <c r="K30" i="27"/>
  <c r="L30" i="27" s="1"/>
  <c r="K29" i="27"/>
  <c r="L29" i="27" s="1"/>
  <c r="K28" i="27"/>
  <c r="L28" i="27" s="1"/>
  <c r="K27" i="27"/>
  <c r="L27" i="27" s="1"/>
  <c r="K26" i="27"/>
  <c r="L26" i="27" s="1"/>
  <c r="K25" i="27"/>
  <c r="L25" i="27" s="1"/>
  <c r="K24" i="27"/>
  <c r="L24" i="27" s="1"/>
  <c r="K23" i="27"/>
  <c r="L23" i="27" s="1"/>
  <c r="K22" i="27"/>
  <c r="L22" i="27" s="1"/>
  <c r="K21" i="27"/>
  <c r="L21" i="27" s="1"/>
  <c r="K20" i="27"/>
  <c r="L20" i="27" s="1"/>
  <c r="K19" i="27"/>
  <c r="L19" i="27" s="1"/>
  <c r="K18" i="27"/>
  <c r="L18" i="27" s="1"/>
  <c r="K17" i="27"/>
  <c r="L17" i="27" s="1"/>
  <c r="K16" i="27"/>
  <c r="L16" i="27" s="1"/>
  <c r="K15" i="27"/>
  <c r="L15" i="27" s="1"/>
  <c r="K14" i="27"/>
  <c r="L14" i="27" s="1"/>
  <c r="K13" i="27"/>
  <c r="L13" i="27" s="1"/>
  <c r="K12" i="27"/>
  <c r="L12" i="27" s="1"/>
  <c r="K11" i="27"/>
  <c r="L11" i="27" s="1"/>
  <c r="K10" i="27"/>
  <c r="L10" i="27" s="1"/>
  <c r="K9" i="27"/>
  <c r="L9" i="27" s="1"/>
  <c r="K8" i="27"/>
  <c r="L8" i="27" s="1"/>
  <c r="K7" i="27"/>
  <c r="L7" i="27" s="1"/>
  <c r="K6" i="27"/>
  <c r="L6" i="27" s="1"/>
  <c r="K5" i="27"/>
  <c r="L5" i="27" s="1"/>
  <c r="K4" i="27"/>
  <c r="L4" i="27" s="1"/>
  <c r="K3" i="27"/>
  <c r="L3" i="27" s="1"/>
  <c r="K2" i="27"/>
  <c r="L2" i="27" s="1"/>
  <c r="I71" i="25" l="1"/>
  <c r="I70" i="25"/>
  <c r="I69" i="25"/>
  <c r="I68" i="25"/>
  <c r="I67" i="25"/>
  <c r="I65" i="25"/>
  <c r="I64" i="25"/>
  <c r="I63" i="25"/>
  <c r="H62" i="25"/>
  <c r="I62" i="25" s="1"/>
  <c r="I61" i="25"/>
  <c r="I59" i="25"/>
  <c r="I58" i="25"/>
  <c r="I57" i="25"/>
  <c r="H56" i="25"/>
  <c r="I56" i="25" s="1"/>
  <c r="I55" i="25"/>
  <c r="I53" i="25" l="1"/>
  <c r="H52" i="25"/>
  <c r="I52" i="25" s="1"/>
  <c r="I51" i="25"/>
  <c r="I50" i="25"/>
  <c r="I49" i="25"/>
  <c r="I48" i="25"/>
  <c r="I47" i="25"/>
  <c r="I45" i="25"/>
  <c r="I44" i="25"/>
  <c r="I43" i="25"/>
  <c r="I42" i="25"/>
  <c r="I41" i="25"/>
  <c r="I40" i="25"/>
  <c r="I39" i="25"/>
  <c r="I37" i="25"/>
  <c r="I36" i="25"/>
  <c r="H34" i="25"/>
  <c r="I34" i="25" s="1"/>
  <c r="H33" i="25"/>
  <c r="D33" i="25"/>
  <c r="C33" i="25"/>
  <c r="H32" i="25"/>
  <c r="G32" i="25"/>
  <c r="G38" i="25" s="1"/>
  <c r="G46" i="25" s="1"/>
  <c r="F32" i="25"/>
  <c r="D32" i="25"/>
  <c r="C32" i="25"/>
  <c r="I31" i="25"/>
  <c r="E30" i="25"/>
  <c r="E32" i="25" s="1"/>
  <c r="E38" i="25" s="1"/>
  <c r="E46" i="25" s="1"/>
  <c r="I29" i="25"/>
  <c r="I28" i="25"/>
  <c r="I27" i="25"/>
  <c r="I26" i="25"/>
  <c r="C38" i="25" l="1"/>
  <c r="C46" i="25" s="1"/>
  <c r="C54" i="25" s="1"/>
  <c r="C60" i="25" s="1"/>
  <c r="C66" i="25" s="1"/>
  <c r="C72" i="25" s="1"/>
  <c r="C77" i="25" s="1"/>
  <c r="D38" i="25"/>
  <c r="D46" i="25" s="1"/>
  <c r="I33" i="25"/>
  <c r="E54" i="25"/>
  <c r="E60" i="25" s="1"/>
  <c r="E66" i="25" s="1"/>
  <c r="E72" i="25" s="1"/>
  <c r="E77" i="25" s="1"/>
  <c r="G54" i="25"/>
  <c r="G60" i="25" s="1"/>
  <c r="G66" i="25" s="1"/>
  <c r="G72" i="25" s="1"/>
  <c r="G77" i="25" s="1"/>
  <c r="H38" i="25"/>
  <c r="H46" i="25" s="1"/>
  <c r="F35" i="25"/>
  <c r="I35" i="25" s="1"/>
  <c r="I30" i="25"/>
  <c r="I32" i="25" s="1"/>
  <c r="D54" i="25" l="1"/>
  <c r="D60" i="25" s="1"/>
  <c r="D66" i="25" s="1"/>
  <c r="D72" i="25" s="1"/>
  <c r="D77" i="25" s="1"/>
  <c r="I38" i="25"/>
  <c r="I46" i="25" s="1"/>
  <c r="I54" i="25" s="1"/>
  <c r="I60" i="25" s="1"/>
  <c r="I66" i="25" s="1"/>
  <c r="I72" i="25" s="1"/>
  <c r="I77" i="25" s="1"/>
  <c r="F38" i="25"/>
  <c r="F46" i="25" s="1"/>
  <c r="F54" i="25" s="1"/>
  <c r="F60" i="25" s="1"/>
  <c r="F66" i="25" s="1"/>
  <c r="F72" i="25" s="1"/>
  <c r="F77" i="25" s="1"/>
  <c r="H54" i="25"/>
  <c r="H60" i="25" s="1"/>
  <c r="H66" i="25" s="1"/>
  <c r="H72" i="25" s="1"/>
  <c r="H77" i="25" s="1"/>
  <c r="G24" i="20" l="1"/>
  <c r="G40" i="20"/>
  <c r="G39" i="20"/>
  <c r="G26" i="20"/>
  <c r="K26" i="20"/>
  <c r="M40" i="20"/>
  <c r="M39" i="20"/>
  <c r="M32" i="20"/>
  <c r="M30" i="20" s="1"/>
  <c r="M26" i="20"/>
  <c r="M24" i="20"/>
  <c r="I40" i="20"/>
  <c r="I39" i="20"/>
  <c r="I32" i="20"/>
  <c r="I26" i="20"/>
  <c r="I24" i="20"/>
  <c r="O30" i="20"/>
  <c r="O28" i="20"/>
  <c r="O37" i="20" l="1"/>
  <c r="O43" i="20" s="1"/>
  <c r="O52" i="20" s="1"/>
  <c r="M28" i="20"/>
  <c r="M37" i="20" s="1"/>
  <c r="M43" i="20" s="1"/>
  <c r="M52" i="20" s="1"/>
  <c r="I28" i="20"/>
  <c r="I30" i="20"/>
  <c r="I37" i="20" l="1"/>
  <c r="I43" i="20" s="1"/>
  <c r="I52" i="20" s="1"/>
  <c r="K3" i="23"/>
  <c r="K4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154" i="23"/>
  <c r="K155" i="23"/>
  <c r="K156" i="23"/>
  <c r="K157" i="23"/>
  <c r="K158" i="23"/>
  <c r="K159" i="23"/>
  <c r="K160" i="23"/>
  <c r="K161" i="23"/>
  <c r="K162" i="23"/>
  <c r="K163" i="23"/>
  <c r="K164" i="23"/>
  <c r="K165" i="23"/>
  <c r="K166" i="23"/>
  <c r="K167" i="23"/>
  <c r="K168" i="23"/>
  <c r="K169" i="23"/>
  <c r="K170" i="23"/>
  <c r="K171" i="23"/>
  <c r="K172" i="23"/>
  <c r="K173" i="23"/>
  <c r="K174" i="23"/>
  <c r="K175" i="23"/>
  <c r="K176" i="23"/>
  <c r="K177" i="23"/>
  <c r="K178" i="23"/>
  <c r="K179" i="23"/>
  <c r="K180" i="23"/>
  <c r="K181" i="23"/>
  <c r="K182" i="23"/>
  <c r="K183" i="23"/>
  <c r="K184" i="23"/>
  <c r="K185" i="23"/>
  <c r="K186" i="23"/>
  <c r="K187" i="23"/>
  <c r="K188" i="23"/>
  <c r="K189" i="23"/>
  <c r="K190" i="23"/>
  <c r="K191" i="23"/>
  <c r="K192" i="23"/>
  <c r="K193" i="23"/>
  <c r="K194" i="23"/>
  <c r="K195" i="23"/>
  <c r="K196" i="23"/>
  <c r="K197" i="23"/>
  <c r="K198" i="23"/>
  <c r="K199" i="23"/>
  <c r="K200" i="23"/>
  <c r="K201" i="23"/>
  <c r="K202" i="23"/>
  <c r="K203" i="23"/>
  <c r="K204" i="23"/>
  <c r="K205" i="23"/>
  <c r="K206" i="23"/>
  <c r="K207" i="23"/>
  <c r="K208" i="23"/>
  <c r="K209" i="23"/>
  <c r="K210" i="23"/>
  <c r="K211" i="23"/>
  <c r="K212" i="23"/>
  <c r="K213" i="23"/>
  <c r="K214" i="23"/>
  <c r="K215" i="23"/>
  <c r="K216" i="23"/>
  <c r="K217" i="23"/>
  <c r="K218" i="23"/>
  <c r="K219" i="23"/>
  <c r="K220" i="23"/>
  <c r="K221" i="23"/>
  <c r="K222" i="23"/>
  <c r="K223" i="23"/>
  <c r="K224" i="23"/>
  <c r="K225" i="23"/>
  <c r="K226" i="23"/>
  <c r="K227" i="23"/>
  <c r="K228" i="23"/>
  <c r="K229" i="23"/>
  <c r="K230" i="23"/>
  <c r="K231" i="23"/>
  <c r="K232" i="23"/>
  <c r="K233" i="23"/>
  <c r="K234" i="23"/>
  <c r="K235" i="23"/>
  <c r="K236" i="23"/>
  <c r="K237" i="23"/>
  <c r="K238" i="23"/>
  <c r="K239" i="23"/>
  <c r="K240" i="23"/>
  <c r="K241" i="23"/>
  <c r="K242" i="23"/>
  <c r="K243" i="23"/>
  <c r="K244" i="23"/>
  <c r="K245" i="23"/>
  <c r="K246" i="23"/>
  <c r="K247" i="23"/>
  <c r="K248" i="23"/>
  <c r="K249" i="23"/>
  <c r="K250" i="23"/>
  <c r="K251" i="23"/>
  <c r="K252" i="23"/>
  <c r="K253" i="23"/>
  <c r="K254" i="23"/>
  <c r="K255" i="23"/>
  <c r="K256" i="23"/>
  <c r="K257" i="23"/>
  <c r="K258" i="23"/>
  <c r="K259" i="23"/>
  <c r="K260" i="23"/>
  <c r="K261" i="23"/>
  <c r="K262" i="23"/>
  <c r="K263" i="23"/>
  <c r="K264" i="23"/>
  <c r="K265" i="23"/>
  <c r="K266" i="23"/>
  <c r="K267" i="23"/>
  <c r="K268" i="23"/>
  <c r="K269" i="23"/>
  <c r="K270" i="23"/>
  <c r="K271" i="23"/>
  <c r="K272" i="23"/>
  <c r="K273" i="23"/>
  <c r="K274" i="23"/>
  <c r="K275" i="23"/>
  <c r="K276" i="23"/>
  <c r="K277" i="23"/>
  <c r="K278" i="23"/>
  <c r="K279" i="23"/>
  <c r="K280" i="23"/>
  <c r="K281" i="23"/>
  <c r="K282" i="23"/>
  <c r="K283" i="23"/>
  <c r="K284" i="23"/>
  <c r="K285" i="23"/>
  <c r="K286" i="23"/>
  <c r="K287" i="23"/>
  <c r="K288" i="23"/>
  <c r="K289" i="23"/>
  <c r="K290" i="23"/>
  <c r="K291" i="23"/>
  <c r="K292" i="23"/>
  <c r="K293" i="23"/>
  <c r="K294" i="23"/>
  <c r="K295" i="23"/>
  <c r="K296" i="23"/>
  <c r="K297" i="23"/>
  <c r="K298" i="23"/>
  <c r="K299" i="23"/>
  <c r="K300" i="23"/>
  <c r="K301" i="23"/>
  <c r="K302" i="23"/>
  <c r="K303" i="23"/>
  <c r="K304" i="23"/>
  <c r="K305" i="23"/>
  <c r="K306" i="23"/>
  <c r="K307" i="23"/>
  <c r="K308" i="23"/>
  <c r="K309" i="23"/>
  <c r="K310" i="23"/>
  <c r="K311" i="23"/>
  <c r="K312" i="23"/>
  <c r="K313" i="23"/>
  <c r="K314" i="23"/>
  <c r="K315" i="23"/>
  <c r="K316" i="23"/>
  <c r="K317" i="23"/>
  <c r="K318" i="23"/>
  <c r="K319" i="23"/>
  <c r="K320" i="23"/>
  <c r="K321" i="23"/>
  <c r="K322" i="23"/>
  <c r="K323" i="23"/>
  <c r="K324" i="23"/>
  <c r="K325" i="23"/>
  <c r="K326" i="23"/>
  <c r="K327" i="23"/>
  <c r="K328" i="23"/>
  <c r="K329" i="23"/>
  <c r="K330" i="23"/>
  <c r="K331" i="23"/>
  <c r="K332" i="23"/>
  <c r="K333" i="23"/>
  <c r="K334" i="23"/>
  <c r="K335" i="23"/>
  <c r="K336" i="23"/>
  <c r="K337" i="23"/>
  <c r="K338" i="23"/>
  <c r="K339" i="23"/>
  <c r="K340" i="23"/>
  <c r="K341" i="23"/>
  <c r="K342" i="23"/>
  <c r="K343" i="23"/>
  <c r="K344" i="23"/>
  <c r="K345" i="23"/>
  <c r="K346" i="23"/>
  <c r="K347" i="23"/>
  <c r="K348" i="23"/>
  <c r="K349" i="23"/>
  <c r="K350" i="23"/>
  <c r="K351" i="23"/>
  <c r="K352" i="23"/>
  <c r="K353" i="23"/>
  <c r="K354" i="23"/>
  <c r="K355" i="23"/>
  <c r="K356" i="23"/>
  <c r="K357" i="23"/>
  <c r="K358" i="23"/>
  <c r="K359" i="23"/>
  <c r="K360" i="23"/>
  <c r="K361" i="23"/>
  <c r="K362" i="23"/>
  <c r="K363" i="23"/>
  <c r="K364" i="23"/>
  <c r="K365" i="23"/>
  <c r="K366" i="23"/>
  <c r="K367" i="23"/>
  <c r="K368" i="23"/>
  <c r="K369" i="23"/>
  <c r="K370" i="23"/>
  <c r="K371" i="23"/>
  <c r="K372" i="23"/>
  <c r="K373" i="23"/>
  <c r="K374" i="23"/>
  <c r="K375" i="23"/>
  <c r="K376" i="23"/>
  <c r="K377" i="23"/>
  <c r="K378" i="23"/>
  <c r="K379" i="23"/>
  <c r="K380" i="23"/>
  <c r="K381" i="23"/>
  <c r="K382" i="23"/>
  <c r="K383" i="23"/>
  <c r="K384" i="23"/>
  <c r="K385" i="23"/>
  <c r="K386" i="23"/>
  <c r="K387" i="23"/>
  <c r="K388" i="23"/>
  <c r="K389" i="23"/>
  <c r="K390" i="23"/>
  <c r="K391" i="23"/>
  <c r="K392" i="23"/>
  <c r="K393" i="23"/>
  <c r="K394" i="23"/>
  <c r="K395" i="23"/>
  <c r="K396" i="23"/>
  <c r="K397" i="23"/>
  <c r="K398" i="23"/>
  <c r="K399" i="23"/>
  <c r="K400" i="23"/>
  <c r="K401" i="23"/>
  <c r="K402" i="23"/>
  <c r="K403" i="23"/>
  <c r="K404" i="23"/>
  <c r="K405" i="23"/>
  <c r="K406" i="23"/>
  <c r="K407" i="23"/>
  <c r="K408" i="23"/>
  <c r="K409" i="23"/>
  <c r="K410" i="23"/>
  <c r="K411" i="23"/>
  <c r="K412" i="23"/>
  <c r="K413" i="23"/>
  <c r="K414" i="23"/>
  <c r="K415" i="23"/>
  <c r="K416" i="23"/>
  <c r="K417" i="23"/>
  <c r="K418" i="23"/>
  <c r="K419" i="23"/>
  <c r="K420" i="23"/>
  <c r="K421" i="23"/>
  <c r="K422" i="23"/>
  <c r="K423" i="23"/>
  <c r="K424" i="23"/>
  <c r="K425" i="23"/>
  <c r="K426" i="23"/>
  <c r="K427" i="23"/>
  <c r="K428" i="23"/>
  <c r="K429" i="23"/>
  <c r="K430" i="23"/>
  <c r="K431" i="23"/>
  <c r="K432" i="23"/>
  <c r="K433" i="23"/>
  <c r="K434" i="23"/>
  <c r="K435" i="23"/>
  <c r="K436" i="23"/>
  <c r="K437" i="23"/>
  <c r="K438" i="23"/>
  <c r="K439" i="23"/>
  <c r="K440" i="23"/>
  <c r="K441" i="23"/>
  <c r="K442" i="23"/>
  <c r="K443" i="23"/>
  <c r="K444" i="23"/>
  <c r="K445" i="23"/>
  <c r="K446" i="23"/>
  <c r="K447" i="23"/>
  <c r="K448" i="23"/>
  <c r="K449" i="23"/>
  <c r="K450" i="23"/>
  <c r="K451" i="23"/>
  <c r="K452" i="23"/>
  <c r="K453" i="23"/>
  <c r="K454" i="23"/>
  <c r="K455" i="23"/>
  <c r="K456" i="23"/>
  <c r="K457" i="23"/>
  <c r="K458" i="23"/>
  <c r="K459" i="23"/>
  <c r="K460" i="23"/>
  <c r="K461" i="23"/>
  <c r="K462" i="23"/>
  <c r="K463" i="23"/>
  <c r="K464" i="23"/>
  <c r="K465" i="23"/>
  <c r="K466" i="23"/>
  <c r="K467" i="23"/>
  <c r="K468" i="23"/>
  <c r="K469" i="23"/>
  <c r="K470" i="23"/>
  <c r="K471" i="23"/>
  <c r="K472" i="23"/>
  <c r="K473" i="23"/>
  <c r="K474" i="23"/>
  <c r="K475" i="23"/>
  <c r="K476" i="23"/>
  <c r="K477" i="23"/>
  <c r="K478" i="23"/>
  <c r="K479" i="23"/>
  <c r="K480" i="23"/>
  <c r="K481" i="23"/>
  <c r="K482" i="23"/>
  <c r="K483" i="23"/>
  <c r="K484" i="23"/>
  <c r="K485" i="23"/>
  <c r="K486" i="23"/>
  <c r="K487" i="23"/>
  <c r="K488" i="23"/>
  <c r="K489" i="23"/>
  <c r="K490" i="23"/>
  <c r="K491" i="23"/>
  <c r="K492" i="23"/>
  <c r="K493" i="23"/>
  <c r="K494" i="23"/>
  <c r="K495" i="23"/>
  <c r="K496" i="23"/>
  <c r="K497" i="23"/>
  <c r="K498" i="23"/>
  <c r="K499" i="23"/>
  <c r="K500" i="23"/>
  <c r="K501" i="23"/>
  <c r="K502" i="23"/>
  <c r="K503" i="23"/>
  <c r="K504" i="23"/>
  <c r="K505" i="23"/>
  <c r="K506" i="23"/>
  <c r="K507" i="23"/>
  <c r="K508" i="23"/>
  <c r="K509" i="23"/>
  <c r="K510" i="23"/>
  <c r="K511" i="23"/>
  <c r="K512" i="23"/>
  <c r="K513" i="23"/>
  <c r="K514" i="23"/>
  <c r="K515" i="23"/>
  <c r="K516" i="23"/>
  <c r="K517" i="23"/>
  <c r="K518" i="23"/>
  <c r="K519" i="23"/>
  <c r="K520" i="23"/>
  <c r="K521" i="23"/>
  <c r="K522" i="23"/>
  <c r="K523" i="23"/>
  <c r="K524" i="23"/>
  <c r="K525" i="23"/>
  <c r="K526" i="23"/>
  <c r="K527" i="23"/>
  <c r="K528" i="23"/>
  <c r="K529" i="23"/>
  <c r="K530" i="23"/>
  <c r="K531" i="23"/>
  <c r="K532" i="23"/>
  <c r="K533" i="23"/>
  <c r="K534" i="23"/>
  <c r="K535" i="23"/>
  <c r="K536" i="23"/>
  <c r="K537" i="23"/>
  <c r="K538" i="23"/>
  <c r="K539" i="23"/>
  <c r="K540" i="23"/>
  <c r="K541" i="23"/>
  <c r="K542" i="23"/>
  <c r="K543" i="23"/>
  <c r="K544" i="23"/>
  <c r="K545" i="23"/>
  <c r="K546" i="23"/>
  <c r="K547" i="23"/>
  <c r="K548" i="23"/>
  <c r="K549" i="23"/>
  <c r="K550" i="23"/>
  <c r="K551" i="23"/>
  <c r="K552" i="23"/>
  <c r="K553" i="23"/>
  <c r="K554" i="23"/>
  <c r="K555" i="23"/>
  <c r="K556" i="23"/>
  <c r="K557" i="23"/>
  <c r="K558" i="23"/>
  <c r="K559" i="23"/>
  <c r="K560" i="23"/>
  <c r="K561" i="23"/>
  <c r="K562" i="23"/>
  <c r="K563" i="23"/>
  <c r="K564" i="23"/>
  <c r="K565" i="23"/>
  <c r="K566" i="23"/>
  <c r="K567" i="23"/>
  <c r="K568" i="23"/>
  <c r="K569" i="23"/>
  <c r="K570" i="23"/>
  <c r="K571" i="23"/>
  <c r="K572" i="23"/>
  <c r="K573" i="23"/>
  <c r="K574" i="23"/>
  <c r="K575" i="23"/>
  <c r="K576" i="23"/>
  <c r="K577" i="23"/>
  <c r="K578" i="23"/>
  <c r="K579" i="23"/>
  <c r="K580" i="23"/>
  <c r="K581" i="23"/>
  <c r="K582" i="23"/>
  <c r="K583" i="23"/>
  <c r="K584" i="23"/>
  <c r="K585" i="23"/>
  <c r="K586" i="23"/>
  <c r="K587" i="23"/>
  <c r="K588" i="23"/>
  <c r="K589" i="23"/>
  <c r="K590" i="23"/>
  <c r="K591" i="23"/>
  <c r="K592" i="23"/>
  <c r="K593" i="23"/>
  <c r="K594" i="23"/>
  <c r="K595" i="23"/>
  <c r="K596" i="23"/>
  <c r="K597" i="23"/>
  <c r="K598" i="23"/>
  <c r="K599" i="23"/>
  <c r="K600" i="23"/>
  <c r="K601" i="23"/>
  <c r="K602" i="23"/>
  <c r="K603" i="23"/>
  <c r="K604" i="23"/>
  <c r="K605" i="23"/>
  <c r="K606" i="23"/>
  <c r="K607" i="23"/>
  <c r="K608" i="23"/>
  <c r="K609" i="23"/>
  <c r="K610" i="23"/>
  <c r="K611" i="23"/>
  <c r="K612" i="23"/>
  <c r="K613" i="23"/>
  <c r="K614" i="23"/>
  <c r="K615" i="23"/>
  <c r="K616" i="23"/>
  <c r="K617" i="23"/>
  <c r="K618" i="23"/>
  <c r="K619" i="23"/>
  <c r="K620" i="23"/>
  <c r="K621" i="23"/>
  <c r="K622" i="23"/>
  <c r="K623" i="23"/>
  <c r="K624" i="23"/>
  <c r="K625" i="23"/>
  <c r="K626" i="23"/>
  <c r="K627" i="23"/>
  <c r="K628" i="23"/>
  <c r="K629" i="23"/>
  <c r="K630" i="23"/>
  <c r="K631" i="23"/>
  <c r="K632" i="23"/>
  <c r="K633" i="23"/>
  <c r="K634" i="23"/>
  <c r="K635" i="23"/>
  <c r="K636" i="23"/>
  <c r="K637" i="23"/>
  <c r="K638" i="23"/>
  <c r="K639" i="23"/>
  <c r="K640" i="23"/>
  <c r="K641" i="23"/>
  <c r="K642" i="23"/>
  <c r="K643" i="23"/>
  <c r="K644" i="23"/>
  <c r="K645" i="23"/>
  <c r="K646" i="23"/>
  <c r="K647" i="23"/>
  <c r="K648" i="23"/>
  <c r="K649" i="23"/>
  <c r="K650" i="23"/>
  <c r="K651" i="23"/>
  <c r="K652" i="23"/>
  <c r="K653" i="23"/>
  <c r="K654" i="23"/>
  <c r="K655" i="23"/>
  <c r="K656" i="23"/>
  <c r="K657" i="23"/>
  <c r="K658" i="23"/>
  <c r="K659" i="23"/>
  <c r="K660" i="23"/>
  <c r="K661" i="23"/>
  <c r="K662" i="23"/>
  <c r="K663" i="23"/>
  <c r="K664" i="23"/>
  <c r="K665" i="23"/>
  <c r="K666" i="23"/>
  <c r="K667" i="23"/>
  <c r="K668" i="23"/>
  <c r="K669" i="23"/>
  <c r="K670" i="23"/>
  <c r="K671" i="23"/>
  <c r="K672" i="23"/>
  <c r="K673" i="23"/>
  <c r="K674" i="23"/>
  <c r="K675" i="23"/>
  <c r="K676" i="23"/>
  <c r="K677" i="23"/>
  <c r="K678" i="23"/>
  <c r="K679" i="23"/>
  <c r="K680" i="23"/>
  <c r="K681" i="23"/>
  <c r="K682" i="23"/>
  <c r="K683" i="23"/>
  <c r="K684" i="23"/>
  <c r="K685" i="23"/>
  <c r="K686" i="23"/>
  <c r="K687" i="23"/>
  <c r="K688" i="23"/>
  <c r="K689" i="23"/>
  <c r="K690" i="23"/>
  <c r="K691" i="23"/>
  <c r="K692" i="23"/>
  <c r="K693" i="23"/>
  <c r="K694" i="23"/>
  <c r="K695" i="23"/>
  <c r="K696" i="23"/>
  <c r="K697" i="23"/>
  <c r="K698" i="23"/>
  <c r="K699" i="23"/>
  <c r="K700" i="23"/>
  <c r="K701" i="23"/>
  <c r="K702" i="23"/>
  <c r="K703" i="23"/>
  <c r="K704" i="23"/>
  <c r="K705" i="23"/>
  <c r="K706" i="23"/>
  <c r="K707" i="23"/>
  <c r="K708" i="23"/>
  <c r="K709" i="23"/>
  <c r="K710" i="23"/>
  <c r="K711" i="23"/>
  <c r="K712" i="23"/>
  <c r="K713" i="23"/>
  <c r="K714" i="23"/>
  <c r="K715" i="23"/>
  <c r="K716" i="23"/>
  <c r="K717" i="23"/>
  <c r="K718" i="23"/>
  <c r="K719" i="23"/>
  <c r="K720" i="23"/>
  <c r="K721" i="23"/>
  <c r="K722" i="23"/>
  <c r="K723" i="23"/>
  <c r="K724" i="23"/>
  <c r="K725" i="23"/>
  <c r="K726" i="23"/>
  <c r="K727" i="23"/>
  <c r="K728" i="23"/>
  <c r="K729" i="23"/>
  <c r="K730" i="23"/>
  <c r="K731" i="23"/>
  <c r="K732" i="23"/>
  <c r="K733" i="23"/>
  <c r="K734" i="23"/>
  <c r="K735" i="23"/>
  <c r="K736" i="23"/>
  <c r="K737" i="23"/>
  <c r="K738" i="23"/>
  <c r="K739" i="23"/>
  <c r="K740" i="23"/>
  <c r="K741" i="23"/>
  <c r="K742" i="23"/>
  <c r="K743" i="23"/>
  <c r="K744" i="23"/>
  <c r="K745" i="23"/>
  <c r="K746" i="23"/>
  <c r="K747" i="23"/>
  <c r="K748" i="23"/>
  <c r="K749" i="23"/>
  <c r="K750" i="23"/>
  <c r="K751" i="23"/>
  <c r="K752" i="23"/>
  <c r="K753" i="23"/>
  <c r="K754" i="23"/>
  <c r="K755" i="23"/>
  <c r="K756" i="23"/>
  <c r="K757" i="23"/>
  <c r="K758" i="23"/>
  <c r="K759" i="23"/>
  <c r="K760" i="23"/>
  <c r="K761" i="23"/>
  <c r="K762" i="23"/>
  <c r="K763" i="23"/>
  <c r="K764" i="23"/>
  <c r="K765" i="23"/>
  <c r="K766" i="23"/>
  <c r="K767" i="23"/>
  <c r="K768" i="23"/>
  <c r="K769" i="23"/>
  <c r="K770" i="23"/>
  <c r="K771" i="23"/>
  <c r="K772" i="23"/>
  <c r="K773" i="23"/>
  <c r="K774" i="23"/>
  <c r="K775" i="23"/>
  <c r="K776" i="23"/>
  <c r="K777" i="23"/>
  <c r="K778" i="23"/>
  <c r="K779" i="23"/>
  <c r="K780" i="23"/>
  <c r="K781" i="23"/>
  <c r="K782" i="23"/>
  <c r="K783" i="23"/>
  <c r="K784" i="23"/>
  <c r="K785" i="23"/>
  <c r="K786" i="23"/>
  <c r="K787" i="23"/>
  <c r="K788" i="23"/>
  <c r="K789" i="23"/>
  <c r="K790" i="23"/>
  <c r="K791" i="23"/>
  <c r="K792" i="23"/>
  <c r="K793" i="23"/>
  <c r="K794" i="23"/>
  <c r="K795" i="23"/>
  <c r="K796" i="23"/>
  <c r="K797" i="23"/>
  <c r="K798" i="23"/>
  <c r="K799" i="23"/>
  <c r="K800" i="23"/>
  <c r="K801" i="23"/>
  <c r="K802" i="23"/>
  <c r="K803" i="23"/>
  <c r="K804" i="23"/>
  <c r="K805" i="23"/>
  <c r="K806" i="23"/>
  <c r="K807" i="23"/>
  <c r="K808" i="23"/>
  <c r="K809" i="23"/>
  <c r="K810" i="23"/>
  <c r="K811" i="23"/>
  <c r="K812" i="23"/>
  <c r="K813" i="23"/>
  <c r="K814" i="23"/>
  <c r="K815" i="23"/>
  <c r="K816" i="23"/>
  <c r="K817" i="23"/>
  <c r="K818" i="23"/>
  <c r="K819" i="23"/>
  <c r="K820" i="23"/>
  <c r="K821" i="23"/>
  <c r="K822" i="23"/>
  <c r="K823" i="23"/>
  <c r="K824" i="23"/>
  <c r="K825" i="23"/>
  <c r="K826" i="23"/>
  <c r="K827" i="23"/>
  <c r="K828" i="23"/>
  <c r="K829" i="23"/>
  <c r="K830" i="23"/>
  <c r="K831" i="23"/>
  <c r="K832" i="23"/>
  <c r="K833" i="23"/>
  <c r="K834" i="23"/>
  <c r="K835" i="23"/>
  <c r="K836" i="23"/>
  <c r="K837" i="23"/>
  <c r="K838" i="23"/>
  <c r="K839" i="23"/>
  <c r="K840" i="23"/>
  <c r="K841" i="23"/>
  <c r="K842" i="23"/>
  <c r="K843" i="23"/>
  <c r="K844" i="23"/>
  <c r="K845" i="23"/>
  <c r="K846" i="23"/>
  <c r="K847" i="23"/>
  <c r="K848" i="23"/>
  <c r="K849" i="23"/>
  <c r="K850" i="23"/>
  <c r="K851" i="23"/>
  <c r="K852" i="23"/>
  <c r="K853" i="23"/>
  <c r="K854" i="23"/>
  <c r="K855" i="23"/>
  <c r="K856" i="23"/>
  <c r="K857" i="23"/>
  <c r="K858" i="23"/>
  <c r="K859" i="23"/>
  <c r="K860" i="23"/>
  <c r="K861" i="23"/>
  <c r="K862" i="23"/>
  <c r="K863" i="23"/>
  <c r="K864" i="23"/>
  <c r="K865" i="23"/>
  <c r="K866" i="23"/>
  <c r="K867" i="23"/>
  <c r="K868" i="23"/>
  <c r="K869" i="23"/>
  <c r="K870" i="23"/>
  <c r="K871" i="23"/>
  <c r="K872" i="23"/>
  <c r="K873" i="23"/>
  <c r="K874" i="23"/>
  <c r="K875" i="23"/>
  <c r="K876" i="23"/>
  <c r="K877" i="23"/>
  <c r="K878" i="23"/>
  <c r="K879" i="23"/>
  <c r="K880" i="23"/>
  <c r="L830" i="23" l="1"/>
  <c r="L752" i="23"/>
  <c r="L669" i="23"/>
  <c r="N76" i="21" l="1"/>
  <c r="K76" i="21"/>
  <c r="H76" i="21"/>
  <c r="E76" i="21"/>
  <c r="C76" i="21"/>
  <c r="N67" i="21"/>
  <c r="K67" i="21"/>
  <c r="H67" i="21"/>
  <c r="E67" i="21"/>
  <c r="C67" i="21"/>
  <c r="N57" i="21"/>
  <c r="K57" i="21"/>
  <c r="H57" i="21"/>
  <c r="E57" i="21"/>
  <c r="C57" i="21"/>
  <c r="N46" i="21"/>
  <c r="K46" i="21"/>
  <c r="H46" i="21"/>
  <c r="E46" i="21"/>
  <c r="C46" i="21"/>
  <c r="N39" i="21"/>
  <c r="K39" i="21"/>
  <c r="H39" i="21"/>
  <c r="E39" i="21"/>
  <c r="C39" i="21"/>
  <c r="C37" i="21"/>
  <c r="N29" i="21"/>
  <c r="K29" i="21"/>
  <c r="H29" i="21"/>
  <c r="E29" i="21"/>
  <c r="C29" i="21"/>
  <c r="N20" i="21"/>
  <c r="K20" i="21"/>
  <c r="H20" i="21"/>
  <c r="E20" i="21"/>
  <c r="C20" i="21"/>
  <c r="C39" i="20"/>
  <c r="K30" i="20"/>
  <c r="C33" i="20"/>
  <c r="C32" i="20"/>
  <c r="E30" i="20"/>
  <c r="K28" i="20"/>
  <c r="G28" i="20"/>
  <c r="C26" i="20"/>
  <c r="E24" i="20"/>
  <c r="E28" i="20" s="1"/>
  <c r="C24" i="20"/>
  <c r="E16" i="21" l="1"/>
  <c r="C16" i="21"/>
  <c r="N16" i="21"/>
  <c r="N81" i="21" s="1"/>
  <c r="K16" i="21"/>
  <c r="K81" i="21" s="1"/>
  <c r="H16" i="21"/>
  <c r="C30" i="20"/>
  <c r="C81" i="21"/>
  <c r="H81" i="21"/>
  <c r="E37" i="20"/>
  <c r="E43" i="20" s="1"/>
  <c r="E52" i="20" s="1"/>
  <c r="C28" i="20"/>
  <c r="E81" i="21"/>
  <c r="K37" i="20"/>
  <c r="K43" i="20" s="1"/>
  <c r="K52" i="20" s="1"/>
  <c r="C37" i="20" l="1"/>
  <c r="C43" i="20" s="1"/>
  <c r="C52" i="20" s="1"/>
  <c r="C40" i="8" l="1"/>
  <c r="C39" i="8"/>
  <c r="C37" i="8"/>
  <c r="C36" i="8"/>
  <c r="C31" i="8"/>
  <c r="C29" i="8"/>
  <c r="C38" i="8"/>
  <c r="C34" i="8"/>
  <c r="C33" i="8"/>
  <c r="C32" i="8"/>
  <c r="C30" i="8" l="1"/>
  <c r="G30" i="20" l="1"/>
  <c r="G37" i="20" s="1"/>
  <c r="G43" i="20" s="1"/>
  <c r="G52" i="20" s="1"/>
</calcChain>
</file>

<file path=xl/comments1.xml><?xml version="1.0" encoding="utf-8"?>
<comments xmlns="http://schemas.openxmlformats.org/spreadsheetml/2006/main">
  <authors>
    <author>Nilane Menezes</author>
  </authors>
  <commentList>
    <comment ref="K52" authorId="0" shapeId="0">
      <text>
        <r>
          <rPr>
            <b/>
            <sz val="9"/>
            <color indexed="81"/>
            <rFont val="Tahoma"/>
            <family val="2"/>
          </rPr>
          <t>Foi retirado o valor R$ 1.544 (PORTUS), incluido no 2019 REAPRESENTADO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<sst xmlns="http://schemas.openxmlformats.org/spreadsheetml/2006/main" count="4116" uniqueCount="1947">
  <si>
    <t>COMPANHIA DOCAS DO CEARÁ</t>
  </si>
  <si>
    <t>CNPJ: 07.223.670.0001-16</t>
  </si>
  <si>
    <t>Fortaleza - CE</t>
  </si>
  <si>
    <t>(Em milhares de reais)</t>
  </si>
  <si>
    <t>PERÍODOS DE</t>
  </si>
  <si>
    <t>A</t>
  </si>
  <si>
    <t>ATIVIDADES OPERACIONAIS</t>
  </si>
  <si>
    <t>Resultado do Exercício</t>
  </si>
  <si>
    <t>Despesas/Receitas que não afetam o Caixa</t>
  </si>
  <si>
    <t>(+) Depreciação/Amortizações</t>
  </si>
  <si>
    <t>(-) Ajuste de Depreciação (RTT)</t>
  </si>
  <si>
    <t>(+/-) Outras mutações do Patrimônio Líquido</t>
  </si>
  <si>
    <t>(+/-) Ajustes de Avaliação Patrimonial</t>
  </si>
  <si>
    <t>(+) Baixa do Ativo Imobilizado</t>
  </si>
  <si>
    <t>(+) Redução ao Valor Recuperável</t>
  </si>
  <si>
    <t>(+/-) Aumento/Redução do Ativo Circulante</t>
  </si>
  <si>
    <t>Clientes</t>
  </si>
  <si>
    <t>Servidores a disposição</t>
  </si>
  <si>
    <t>Adiantamentos a Empregados</t>
  </si>
  <si>
    <t>Adiantamentos a Empresas</t>
  </si>
  <si>
    <t>Impostos a Recuperar</t>
  </si>
  <si>
    <t>Estoques</t>
  </si>
  <si>
    <t>Despesas Antecipadas</t>
  </si>
  <si>
    <t>( - ) Provisão para perdas com Clientes</t>
  </si>
  <si>
    <t>(+/-) Aumento/Redução dos Ativos e Passivos de Longo Prazo</t>
  </si>
  <si>
    <t>Depósitos realizáveis a longo prazo</t>
  </si>
  <si>
    <t>Devedores diversos</t>
  </si>
  <si>
    <t>Obrigações Fiscais Trabalhistas e Previdenciárias</t>
  </si>
  <si>
    <t>AFAC</t>
  </si>
  <si>
    <t>(+/-) Aumento/Redução do Passivo Circulante</t>
  </si>
  <si>
    <t>Fornecedores</t>
  </si>
  <si>
    <t>Obrigações Trabalhistas</t>
  </si>
  <si>
    <t>Credores Diversos</t>
  </si>
  <si>
    <t>Obrigações Fiscais e Previdenciárias</t>
  </si>
  <si>
    <t>Depósitos Contribuições e Consignações</t>
  </si>
  <si>
    <t>Provisões</t>
  </si>
  <si>
    <t>Obrigações Societárias</t>
  </si>
  <si>
    <t>Convênios</t>
  </si>
  <si>
    <t>Ações Judiciais</t>
  </si>
  <si>
    <t>ATIVIDADES DE INVESTIMENTOS</t>
  </si>
  <si>
    <t>Aumento/Redução nos Investimentos</t>
  </si>
  <si>
    <t>Aplicações no Imobilizado</t>
  </si>
  <si>
    <t>Alienação de Imobilizado</t>
  </si>
  <si>
    <t>Aplicações no Intangível</t>
  </si>
  <si>
    <t>Baixas do Intangível</t>
  </si>
  <si>
    <t>-</t>
  </si>
  <si>
    <t>ATIVIDADES DE FINANCIAMENTOS</t>
  </si>
  <si>
    <t>Integralização de Capital</t>
  </si>
  <si>
    <t>Reserva Especial</t>
  </si>
  <si>
    <t>AUMENTO/REDUÇÃO DO CAIXA E EQUIVALENTE DE CAIXA</t>
  </si>
  <si>
    <t>Saldo no Início do Período</t>
  </si>
  <si>
    <t>Saldo no Final do Período</t>
  </si>
  <si>
    <t>Variação do Periodo</t>
  </si>
  <si>
    <t>(As notas explicativas integram o conjunto das demonstrações contábeis.)</t>
  </si>
  <si>
    <t xml:space="preserve"> </t>
  </si>
  <si>
    <t>Conta</t>
  </si>
  <si>
    <t>Descrição</t>
  </si>
  <si>
    <t>Saldo Anterior</t>
  </si>
  <si>
    <t>Débitos</t>
  </si>
  <si>
    <t>Créditos</t>
  </si>
  <si>
    <t>Saldo Atual</t>
  </si>
  <si>
    <t>variação</t>
  </si>
  <si>
    <t>ATIVO</t>
  </si>
  <si>
    <t>ATIVO CIRCULANTE</t>
  </si>
  <si>
    <t>CAIXA E EQUIVALENTE DE CAIXA</t>
  </si>
  <si>
    <t>CAIXA</t>
  </si>
  <si>
    <t>CAIXA EM OPERAÇÃO</t>
  </si>
  <si>
    <t>111.01.01.0001</t>
  </si>
  <si>
    <t>CAIXA - TESOURARIA CENTRAL - ESTABELECIMENTO MATRIZ</t>
  </si>
  <si>
    <t>FUNDO FIXO DE CAIXA</t>
  </si>
  <si>
    <t>COORDENADORIA DE ADMINISTRAÇÃO</t>
  </si>
  <si>
    <t>111.02.04.0012</t>
  </si>
  <si>
    <t>ANTONIO ARNALDO DE OLIVEIRA SAMPAIO</t>
  </si>
  <si>
    <t>111.02.04.0014</t>
  </si>
  <si>
    <t>CARLOS MURILO DE AZEVEDO PIRES</t>
  </si>
  <si>
    <t>111.02.04.0015</t>
  </si>
  <si>
    <t>EULANE DA SILVA CAJAZEIRAS</t>
  </si>
  <si>
    <t>BANCOS CONTA MOVIMENTO</t>
  </si>
  <si>
    <t>BANCO DO BRASIL S.A.</t>
  </si>
  <si>
    <t>111.03.01.0001</t>
  </si>
  <si>
    <t>AGÊNCIA Nº 8-6 C/C 77001-9</t>
  </si>
  <si>
    <t>BANCOS - USO RESTRITO - RECURSOS DA UNIÃO</t>
  </si>
  <si>
    <t>BANCO DO BRASIL</t>
  </si>
  <si>
    <t>111.04.01.0002</t>
  </si>
  <si>
    <t>AGÊNCIA Nº 08-6 C/C  26.003-7</t>
  </si>
  <si>
    <t>BANCOS C/C E POUPANCA - CONVÊNIOS</t>
  </si>
  <si>
    <t>111.05.01.0002</t>
  </si>
  <si>
    <t>CONVÊNIO CVT - AG.08-6 POUP24.330-2</t>
  </si>
  <si>
    <t>111.05.01.0003</t>
  </si>
  <si>
    <t>CONVÊNIO MONIT.AMBIENTAL - AG.08-6 POUP24.520-8</t>
  </si>
  <si>
    <t>APLICAÇÕES DE DISPONIBILIDADE OU LIQUIDEZ IMEDIATA</t>
  </si>
  <si>
    <t>111.06.01.0001</t>
  </si>
  <si>
    <t>AGÊNCIA Nº 08-6 C/C 77.001-9</t>
  </si>
  <si>
    <t>111.06.01.0003</t>
  </si>
  <si>
    <t>AGÊNCIA Nº 08-6 C/C 26.003-7</t>
  </si>
  <si>
    <t>CONTAS A RECEBER</t>
  </si>
  <si>
    <t>CLIENTES</t>
  </si>
  <si>
    <t>CLIENTES NO MERCADO NACIONAL</t>
  </si>
  <si>
    <t>112.01.01.0001</t>
  </si>
  <si>
    <t>CLIENTES NO MERCADO NACIONAL - DIVERSOS</t>
  </si>
  <si>
    <t>CLIENTES DIVERSOS</t>
  </si>
  <si>
    <t>112.01.02.0001</t>
  </si>
  <si>
    <t>SEAPORT SERV MARITIMOS LTDA</t>
  </si>
  <si>
    <t>112.01.02.0008</t>
  </si>
  <si>
    <t>RECAR -RESTAURACAO CONSTR BRASIL COM E SERV EIRELI</t>
  </si>
  <si>
    <t>112.01.02.0013</t>
  </si>
  <si>
    <t>COOPACE-COOPERATIVA DOS ARMADORES DE PESCA DO CEARA</t>
  </si>
  <si>
    <t>112.01.02.0015</t>
  </si>
  <si>
    <t>FULL COMEX TRADING S.A -CONFISSAO DE  DIVIDA</t>
  </si>
  <si>
    <t>112.01.02.0016</t>
  </si>
  <si>
    <t>NML TANKERS AGENCIA MARITIMA LTDA - ME</t>
  </si>
  <si>
    <t>112.01.02.0017</t>
  </si>
  <si>
    <t>ENGEMOM - ENGENHARIA INDUSTRIAL E CONSTRUÇÕES LTDA</t>
  </si>
  <si>
    <t>112.01.02.0018</t>
  </si>
  <si>
    <t>TRACOL AGENCIA MARITIMA TRANSCONTINENTAL LTDA</t>
  </si>
  <si>
    <t>PROVISÃO PARA PERDAS EM CONTAS A RECEBER DE CLIENTES</t>
  </si>
  <si>
    <t>CRÉDITOS DE LIQUIDAÇÃO DUVIDOSA</t>
  </si>
  <si>
    <t>112.02.01.0001</t>
  </si>
  <si>
    <t>PERDAS ESTIMADAS COM CREDITOS DE LIQUIDAÇÃO DUVIDOSA</t>
  </si>
  <si>
    <t>SERVIDORES CEDIDOS A DISPOSIÇÃO DE OUTROS ORGÃOS</t>
  </si>
  <si>
    <t>MINISTÉRIO DE ESTADO DOS TRANSPORTES</t>
  </si>
  <si>
    <t>112.04.01.0001</t>
  </si>
  <si>
    <t>JOSÉ VALMIR PAULINO DIAS</t>
  </si>
  <si>
    <t>PROCURADORIA JURIDICA CIA ADMINIST ZONA PROCESSAMENTO -ZPE</t>
  </si>
  <si>
    <t>112.04.07.0001</t>
  </si>
  <si>
    <t>MARIO LIMA JUNIOR</t>
  </si>
  <si>
    <t>CRÉDITOS</t>
  </si>
  <si>
    <t>ADIANTAMENTOS A EMPRESAS</t>
  </si>
  <si>
    <t>112.05.01.0019</t>
  </si>
  <si>
    <t>AD -SOMOS CAPITAL HUMANO SERV DE LOCAÇÃO DE MÃO DE OBRA LTDA</t>
  </si>
  <si>
    <t>112.05.01.0020</t>
  </si>
  <si>
    <t>AD -WN SERVICOS DE VIGILANCIA ARMADA</t>
  </si>
  <si>
    <t>ADIANTAMENTO A EMPREGADOS</t>
  </si>
  <si>
    <t>112.05.02.0001</t>
  </si>
  <si>
    <t>ADIANT. SALARIOS</t>
  </si>
  <si>
    <t>112.05.02.0002</t>
  </si>
  <si>
    <t>EMPRESTIMOS DE FERIAS</t>
  </si>
  <si>
    <t>112.05.02.0003</t>
  </si>
  <si>
    <t>ADIANT. DE FERIAS</t>
  </si>
  <si>
    <t>112.05.02.0004</t>
  </si>
  <si>
    <t>ADIANT. 13.SALARIO</t>
  </si>
  <si>
    <t>112.05.02.0006</t>
  </si>
  <si>
    <t>ADIANTAMENTO GRATIFICAÇÃO NATALINA - DIRETORES</t>
  </si>
  <si>
    <t>ACORDOS/RESSARCIMENTOS</t>
  </si>
  <si>
    <t>112.05.03.0004</t>
  </si>
  <si>
    <t>RESSARCIMENTO INDESA</t>
  </si>
  <si>
    <t>TRIBUTOS A RECUPERAR</t>
  </si>
  <si>
    <t>ESTIMATIVAS NO ANO-CALENDÁRIO</t>
  </si>
  <si>
    <t>113.01.01.0004</t>
  </si>
  <si>
    <t>IRPJ RETIDO - ENTIDADE GOVERNAMENTAL ( LEI Nº 10.833/03 - AR</t>
  </si>
  <si>
    <t>113.01.01.0005</t>
  </si>
  <si>
    <t>IRRF S/ RENDIMENTOS FINANCEIROS E ASSEMELHADOS NO TRIMESTRE/</t>
  </si>
  <si>
    <t>113.01.01.0006</t>
  </si>
  <si>
    <t>IRRF - OUTRAS RETENÇÕES NO TRIMESTRE/ANO-CALENDÁRIO</t>
  </si>
  <si>
    <t>113.01.01.0008</t>
  </si>
  <si>
    <t>CSLL RETIDA - ENTIDADE GOVERNAMENTAL ( LEI Nº 10.833/03 - AR</t>
  </si>
  <si>
    <t>113.01.01.0010</t>
  </si>
  <si>
    <t>PIS RETIDO - ENTIDADE GOVERNAMENTAL - LEI Nº 10.833/03 - ART</t>
  </si>
  <si>
    <t>113.01.01.0011</t>
  </si>
  <si>
    <t>COFINS RETIDA - ENTIDADE GOVERNAMENTAL - LEI Nº 10.833/03 -</t>
  </si>
  <si>
    <t>SALDOS NEGATIVOS DE IRPJ DE PERIODOS ANTERIORES</t>
  </si>
  <si>
    <t>113.01.02.0017</t>
  </si>
  <si>
    <t>SALDO NEGATIVO DE IRPJ EXERC 2020-2019</t>
  </si>
  <si>
    <t>SALDOS NEGATIVOS DE CSLL DE PERIODOS ANTERIORES</t>
  </si>
  <si>
    <t>113.01.03.0018</t>
  </si>
  <si>
    <t>SALDO NEGATIVO DE CSLL 2020-2019</t>
  </si>
  <si>
    <t>DARFS INDEVIDOS OU A MAIOR</t>
  </si>
  <si>
    <t>113.01.04.0004</t>
  </si>
  <si>
    <t>GRUPO - COFINS</t>
  </si>
  <si>
    <t>113.01.04.0005</t>
  </si>
  <si>
    <t>GRUPO - PIS</t>
  </si>
  <si>
    <t>113.01.04.0006</t>
  </si>
  <si>
    <t>GRUPO - CSRF</t>
  </si>
  <si>
    <t>ESTOQUES</t>
  </si>
  <si>
    <t>ESTOQUES - ALMOXARIFADO</t>
  </si>
  <si>
    <t>BENS E PEÇAS SOBRESSALENTES</t>
  </si>
  <si>
    <t>114.01.01.0002</t>
  </si>
  <si>
    <t>PEÇAS E ACESSORIOS P/ VEICULOS</t>
  </si>
  <si>
    <t>114.01.01.0005</t>
  </si>
  <si>
    <t>PEÇAS E FERRAMENTAS PARA OFICINA</t>
  </si>
  <si>
    <t>MATERIAIS DIVERSOS - ADMINISTRAÇÃO</t>
  </si>
  <si>
    <t>114.01.02.0001</t>
  </si>
  <si>
    <t>MATERIAIS DE EXPEDIENTE</t>
  </si>
  <si>
    <t>114.01.02.0003</t>
  </si>
  <si>
    <t>MATERIAL DE CONSUMO</t>
  </si>
  <si>
    <t>114.01.02.0004</t>
  </si>
  <si>
    <t>MATERIAIS DE LIMPEZA</t>
  </si>
  <si>
    <t>114.01.02.0005</t>
  </si>
  <si>
    <t>GAS</t>
  </si>
  <si>
    <t>114.01.02.0006</t>
  </si>
  <si>
    <t>MATERIAIS P/INSTALAÇÕES</t>
  </si>
  <si>
    <t>114.01.02.0007</t>
  </si>
  <si>
    <t>MATERIAIS P/CONS DO MOB E UTENS EM GERAL</t>
  </si>
  <si>
    <t>114.01.02.0008</t>
  </si>
  <si>
    <t>UNIFORMES E UTENSILIOS</t>
  </si>
  <si>
    <t>114.01.02.0011</t>
  </si>
  <si>
    <t>MATERIAL DE SEGURANÇA</t>
  </si>
  <si>
    <t>DESPESAS PAGAS ANTECIPADAMENTE</t>
  </si>
  <si>
    <t>PREMIO DE SEGUROS A APROPRIAR</t>
  </si>
  <si>
    <t>117.01.01.0001</t>
  </si>
  <si>
    <t>SEGUROS</t>
  </si>
  <si>
    <t>117.01.01.0002</t>
  </si>
  <si>
    <t>AFORAMENTO</t>
  </si>
  <si>
    <t>ASSINATURAS E ANUIDADES A APROPRIAR</t>
  </si>
  <si>
    <t>117.01.02.0003</t>
  </si>
  <si>
    <t>INFORMATIVOS JURÍDICOS</t>
  </si>
  <si>
    <t>IMPOSTOS A APROPRIAR</t>
  </si>
  <si>
    <t>117.01.03.0001</t>
  </si>
  <si>
    <t>IPVA</t>
  </si>
  <si>
    <t>ATIVO NÃO CIRCULANTE</t>
  </si>
  <si>
    <t>REALIZÁVEL EM LONGO PRAZO</t>
  </si>
  <si>
    <t>DEPOSITOS JUDICIAIS</t>
  </si>
  <si>
    <t>TRABALHISTAS- RECURSAIS</t>
  </si>
  <si>
    <t>121.01.01.0076</t>
  </si>
  <si>
    <t>EDVAR  ARAUJO  BEZERRA PROC 00305-2008-012-07-00-2</t>
  </si>
  <si>
    <t>121.01.01.0089</t>
  </si>
  <si>
    <t>JOSE ALVES SOBRINHO PROC Nº 0000847-98.2013.5.07.0010</t>
  </si>
  <si>
    <t>121.01.01.0091</t>
  </si>
  <si>
    <t>FRANCISCO CARLOS DE MOURA- PROC 0001-747-62.2014.5.07.0001</t>
  </si>
  <si>
    <t>121.01.01.0094</t>
  </si>
  <si>
    <t>JOAO BATISTA SANTOS ROCHA PROC 0000496-74.2017.5.07.0014</t>
  </si>
  <si>
    <t>121.01.01.0095</t>
  </si>
  <si>
    <t>GEORGE RIBEIRO DE LIMA PROC 0001017.51.2014.5.07.0005</t>
  </si>
  <si>
    <t>121.01.01.0096</t>
  </si>
  <si>
    <t>CARLOS IVAN BRITO DA CRUZ PROC 000911.48.2017.5.07.0017</t>
  </si>
  <si>
    <t>121.01.01.0097</t>
  </si>
  <si>
    <t>FRANCISCO ADRIANO DE ASSIS PROC.0001348-19.2017.5.07.0008</t>
  </si>
  <si>
    <t>121.01.01.0098</t>
  </si>
  <si>
    <t>VIRGINIA STUDART MENDONÇA PROC 0000072-84.2016.5.07.0008</t>
  </si>
  <si>
    <t>121.01.01.0099</t>
  </si>
  <si>
    <t>GEORGE RIBEIRO DE LIMA PROC 0000839-97.2017.5.07.0005</t>
  </si>
  <si>
    <t>121.01.01.0100</t>
  </si>
  <si>
    <t>JOSE GENTIL TAVARES-PROCESSO :0000994-43.2016.5.07.0003</t>
  </si>
  <si>
    <t>121.01.01.0101</t>
  </si>
  <si>
    <t>JOAO FERREIRA DA SILVA-PROCESSO:000176066620165070013</t>
  </si>
  <si>
    <t>121.01.01.0102</t>
  </si>
  <si>
    <t>JAIME LUIS PROC 000853-42.2017.5.0018</t>
  </si>
  <si>
    <t>121.01.01.0103</t>
  </si>
  <si>
    <t>VALDI FELIX PROC 0000868-62.2017.5.07.0001</t>
  </si>
  <si>
    <t>121.01.01.0104</t>
  </si>
  <si>
    <t>ARCELINO AIRES NETO PROC 0000885-56.2017.5.07.0015</t>
  </si>
  <si>
    <t>121.01.01.0105</t>
  </si>
  <si>
    <t>ANTONIO VALDINEI SALES DO CARMO PROC 00001083-96.2017.5.07.0</t>
  </si>
  <si>
    <t>121.01.01.0107</t>
  </si>
  <si>
    <t>JOSE DARCI SOBREIRA PROC 0000871-63.2017.5.07.0018</t>
  </si>
  <si>
    <t>121.01.01.0108</t>
  </si>
  <si>
    <t>JOSE GENTIL TAVARES-PROCESSO :0000791-47.2017.5.07.0003</t>
  </si>
  <si>
    <t>121.01.01.0109</t>
  </si>
  <si>
    <t>FCO ANTONIO CABRAL MEIRELES PROC 0000892-60.2017.5.07.0011</t>
  </si>
  <si>
    <t>121.01.01.0112</t>
  </si>
  <si>
    <t>PROC 0000233-26.2018.5.07.0008 - MPU</t>
  </si>
  <si>
    <t>121.01.01.0113</t>
  </si>
  <si>
    <t>JOSE VALDECI ALVES DA SILVA PROC Nº 0000893-86.2019.5.07.007</t>
  </si>
  <si>
    <t>TRABALHISTAS - BLOQUEADO</t>
  </si>
  <si>
    <t>121.01.02.0056</t>
  </si>
  <si>
    <t>UNIÃO PROC.351/1996 5ª VTF</t>
  </si>
  <si>
    <t>121.01.02.0080</t>
  </si>
  <si>
    <t>JOSE DA COSTA E SILVA- PROC 204100-54.2006.5.07.001</t>
  </si>
  <si>
    <t>121.01.02.0093</t>
  </si>
  <si>
    <t>MANOEL PEREIRA DA SILVA PROC Nº 000434-44.2015.5.07.0001</t>
  </si>
  <si>
    <t>121.01.02.0096</t>
  </si>
  <si>
    <t>ISRAEL LIMA ZACARIAS PROC 0000482-84.2017.5.07.0016</t>
  </si>
  <si>
    <t>121.01.02.0099</t>
  </si>
  <si>
    <t>JOSIAS ALBERTO DO NASCIMENTO PROC 0001619-62.2016.5.07.0008</t>
  </si>
  <si>
    <t>DEPOSITOS JUDICIAIS - CONSIGNACAO</t>
  </si>
  <si>
    <t>121.01.06.0002</t>
  </si>
  <si>
    <t>PROC.N.0810700-09.2019.4.06.8100 UNIAO FEDERAL-AFORAMENTO</t>
  </si>
  <si>
    <t>121.02.01.0023</t>
  </si>
  <si>
    <t>INVESTIMENTOS</t>
  </si>
  <si>
    <t>ATIVOS EM CUSTODIA</t>
  </si>
  <si>
    <t>122.01.05.0001</t>
  </si>
  <si>
    <t>BNDES CONTA 52-3</t>
  </si>
  <si>
    <t>122.01.05.0002</t>
  </si>
  <si>
    <t>FINOR - BANCO DO NORDESTE</t>
  </si>
  <si>
    <t>IMOBILIZADO</t>
  </si>
  <si>
    <t>BENS MÓVEIS</t>
  </si>
  <si>
    <t>123.01.01.0001</t>
  </si>
  <si>
    <t>APARELHOS E FERRAMENTAS</t>
  </si>
  <si>
    <t>123.01.01.0002</t>
  </si>
  <si>
    <t>BIBLIOTECA</t>
  </si>
  <si>
    <t>123.01.01.0003</t>
  </si>
  <si>
    <t>EQUIPAMENTOS CONTRA INCENDIO</t>
  </si>
  <si>
    <t>123.01.01.0004</t>
  </si>
  <si>
    <t>MAQUINAS E EQUIPAMENTOS</t>
  </si>
  <si>
    <t>123.01.01.0005</t>
  </si>
  <si>
    <t>MOVEIS E UTENSILIOS</t>
  </si>
  <si>
    <t>123.01.01.0006</t>
  </si>
  <si>
    <t>IMOBILIZAÇÕES DIVERSAS</t>
  </si>
  <si>
    <t>123.01.01.0007</t>
  </si>
  <si>
    <t>COMPUTADORES E PERIFERICOS</t>
  </si>
  <si>
    <t>123.01.01.0008</t>
  </si>
  <si>
    <t>VEICULOS</t>
  </si>
  <si>
    <t>123.01.01.0009</t>
  </si>
  <si>
    <t>MOBILIARIO E UTENS DE COPA E COZINHA</t>
  </si>
  <si>
    <t>123.01.01.0011</t>
  </si>
  <si>
    <t>SISTEMA DE GRAVAÇÃO OCR</t>
  </si>
  <si>
    <t>BENS IMÓVEIS</t>
  </si>
  <si>
    <t>123.01.02.0001</t>
  </si>
  <si>
    <t>TERRENOS</t>
  </si>
  <si>
    <t>123.01.02.0002</t>
  </si>
  <si>
    <t>EDIFICIOS</t>
  </si>
  <si>
    <t>123.01.02.0003</t>
  </si>
  <si>
    <t>ABRIGO PARA VEICULOS</t>
  </si>
  <si>
    <t>123.01.02.0004</t>
  </si>
  <si>
    <t>ARRUAMENTOS E AREAS PAVIMENTADAS</t>
  </si>
  <si>
    <t>123.01.02.0005</t>
  </si>
  <si>
    <t>CAIS E ANEXOS FIXOS</t>
  </si>
  <si>
    <t>123.01.02.0006</t>
  </si>
  <si>
    <t>INST.DE PROD.DISTRIB.ENERGIA ELETRICA</t>
  </si>
  <si>
    <t>123.01.02.0007</t>
  </si>
  <si>
    <t>INST.SERV.ABASTECIMENTO DAGUA</t>
  </si>
  <si>
    <t>123.01.02.0008</t>
  </si>
  <si>
    <t>LINHAS FERREAS</t>
  </si>
  <si>
    <t>123.01.02.0009</t>
  </si>
  <si>
    <t>REDE DRENAGEM DE AGUAS PLUVIAIS</t>
  </si>
  <si>
    <t>123.01.02.0010</t>
  </si>
  <si>
    <t>PIER PETROLEIRO</t>
  </si>
  <si>
    <t>123.01.02.0011</t>
  </si>
  <si>
    <t>TERMINAL PESQUEIRO</t>
  </si>
  <si>
    <t>123.01.02.0013</t>
  </si>
  <si>
    <t>INST.DO SERVIÇO DE REFRIGERAÇÃO</t>
  </si>
  <si>
    <t>123.01.02.0014</t>
  </si>
  <si>
    <t>BALANÇA RODO FERROVIARIA</t>
  </si>
  <si>
    <t>123.01.02.0015</t>
  </si>
  <si>
    <t>ESTUDOS E PROJETOS</t>
  </si>
  <si>
    <t>123.01.02.0016</t>
  </si>
  <si>
    <t>CONTENÇÃO E ATERRO</t>
  </si>
  <si>
    <t>123.01.02.0017</t>
  </si>
  <si>
    <t>INSTALAÇÕES FIXAS DE OPERAÇÃO</t>
  </si>
  <si>
    <t>123.01.02.0018</t>
  </si>
  <si>
    <t>EQUIP. E INSTALAÇÕES DE COMUNICAÇÃO</t>
  </si>
  <si>
    <t>123.01.02.0019</t>
  </si>
  <si>
    <t>ACESSO HIDROVIARIO</t>
  </si>
  <si>
    <t>123.01.02.0021</t>
  </si>
  <si>
    <t>SISTEMA SEG.DO PORTO - MP 184/04</t>
  </si>
  <si>
    <t>123.01.02.0022</t>
  </si>
  <si>
    <t>SINALIZAÇÃO NAUTICA</t>
  </si>
  <si>
    <t>123.01.02.0024</t>
  </si>
  <si>
    <t>MODERNO SISTEMA DE MONITORAMENTO E GRAVAÇÃO CFTV</t>
  </si>
  <si>
    <t>IMOBILIZADO EM ANDAMENTO</t>
  </si>
  <si>
    <t>123.01.03.0024</t>
  </si>
  <si>
    <t>CORTINA DE PROTEÇAO E ESTACAO DE PASSAGEIROS  NO PORTO</t>
  </si>
  <si>
    <t>IMOBILIZADO CONVÊNIOS</t>
  </si>
  <si>
    <t>123.01.04.0001</t>
  </si>
  <si>
    <t>IMOBILIZADO CONVENIO CVT</t>
  </si>
  <si>
    <t>123.01.04.0002</t>
  </si>
  <si>
    <t>IMOBILIZADO CONVÊNIO MONITORAMENTO AMBIENTAL</t>
  </si>
  <si>
    <t>123.01.04.0003</t>
  </si>
  <si>
    <t>IMOBILIZADO CONVÊNIO DNIT ACESSO HIDROVIARIO</t>
  </si>
  <si>
    <t>IMOBILIZADO TERMINAL MARÍTIMO DE PASSAGEIROS - TMP</t>
  </si>
  <si>
    <t>123.01.05.0001</t>
  </si>
  <si>
    <t>EDIFÍCIOS - TMP</t>
  </si>
  <si>
    <t>123.01.05.0002</t>
  </si>
  <si>
    <t>MOVEIS E UTENSÍLIO - TMP</t>
  </si>
  <si>
    <t>123.01.05.0003</t>
  </si>
  <si>
    <t>MÁQUINAS E EQUIPAMENTOS - TMP</t>
  </si>
  <si>
    <t>123.01.05.0004</t>
  </si>
  <si>
    <t>EQUIPAMENTOS PARA COMPUTAÇÃO ELETRÔNICA - TMP</t>
  </si>
  <si>
    <t>123.01.05.0005</t>
  </si>
  <si>
    <t>SISTEMA DE REFRIGERAÇÃO - TMP</t>
  </si>
  <si>
    <t>REDUÇÃO AO VALOR RECUPERÁVEL</t>
  </si>
  <si>
    <t>123.01.08.0001</t>
  </si>
  <si>
    <t>EQUIPAMENTOS CONTRA INCENDIO- RVR</t>
  </si>
  <si>
    <t>123.01.08.0002</t>
  </si>
  <si>
    <t>MAQUINAS E EQUIPAMENTOS - RVR</t>
  </si>
  <si>
    <t>123.01.08.0003</t>
  </si>
  <si>
    <t>MOVEIS E UTENSILIOS - RVR</t>
  </si>
  <si>
    <t>123.01.08.0004</t>
  </si>
  <si>
    <t>IMOBILIZAÇÕES DIVERSAS -RVR</t>
  </si>
  <si>
    <t>123.01.08.0005</t>
  </si>
  <si>
    <t>COMPUTADORES E PERIFERICOS -RVR</t>
  </si>
  <si>
    <t>123.01.08.0006</t>
  </si>
  <si>
    <t>MOBILIARIO E UTENS DE COPA E COZINHA -RVR</t>
  </si>
  <si>
    <t>123.01.08.0007</t>
  </si>
  <si>
    <t>ARRUAMENTOS E AREAS PAVIMENTADAS-RVR</t>
  </si>
  <si>
    <t>123.01.08.0008</t>
  </si>
  <si>
    <t>INST.SERV.ABASTECIMENTO DAGUA- RVR</t>
  </si>
  <si>
    <t>123.01.08.0009</t>
  </si>
  <si>
    <t>PIER PETROLEIRO -RVR</t>
  </si>
  <si>
    <t>123.01.08.0010</t>
  </si>
  <si>
    <t>INST.DO SERVIÇO DE REFRIGERAÇÃO -RVR</t>
  </si>
  <si>
    <t>123.01.08.0011</t>
  </si>
  <si>
    <t>SISTEMA SEG.DO PORTO - MP 184/04 -RVR</t>
  </si>
  <si>
    <t>123.01.08.0012</t>
  </si>
  <si>
    <t>SINALIZAÇÃO NAUTICA -RVR</t>
  </si>
  <si>
    <t>123.01.08.0014</t>
  </si>
  <si>
    <t>ILUMINAÇÃO DO PORTO DE FORTALEZA -RVR</t>
  </si>
  <si>
    <t>123.01.08.0015</t>
  </si>
  <si>
    <t>SISTEMA DE GRAVAÇÃO OCR - RVR</t>
  </si>
  <si>
    <t>123.01.08.0016</t>
  </si>
  <si>
    <t>EDIFÍCIOS - TMP -RVR</t>
  </si>
  <si>
    <t>123.01.08.0017</t>
  </si>
  <si>
    <t>MOVEIS E UTENSÍLIO - TMP -RVR</t>
  </si>
  <si>
    <t>123.01.08.0018</t>
  </si>
  <si>
    <t>MÁQUINAS E EQUIPAMENTOS - TMP - RVR</t>
  </si>
  <si>
    <t>123.01.08.0019</t>
  </si>
  <si>
    <t>SISTEMA DE REFRIGERAÇÃO - TMP - RVR</t>
  </si>
  <si>
    <t>123.01.08.0020</t>
  </si>
  <si>
    <t>AMPLIACAO DE SUBSTAÇÃO - RVR</t>
  </si>
  <si>
    <t>(-) DEPRECIAÇÃO ACUMULADA</t>
  </si>
  <si>
    <t>(-) DEPRECIAÇÃO ACUMULADA - BENS MÓVEIS</t>
  </si>
  <si>
    <t>123.99.01.0001</t>
  </si>
  <si>
    <t>123.99.01.0002</t>
  </si>
  <si>
    <t>123.99.01.0003</t>
  </si>
  <si>
    <t>123.99.01.0004</t>
  </si>
  <si>
    <t>123.99.01.0005</t>
  </si>
  <si>
    <t>123.99.01.0006</t>
  </si>
  <si>
    <t>123.99.01.0007</t>
  </si>
  <si>
    <t>123.99.01.0008</t>
  </si>
  <si>
    <t>123.99.01.0009</t>
  </si>
  <si>
    <t>MOBILIARIO E UTENS.DE COPA E COZINHA</t>
  </si>
  <si>
    <t>123.99.01.0011</t>
  </si>
  <si>
    <t>(-) DEPRECIAÇÃO ACUMULADA - BENS IMÓVEIS</t>
  </si>
  <si>
    <t>123.99.02.0001</t>
  </si>
  <si>
    <t>123.99.02.0002</t>
  </si>
  <si>
    <t>123.99.02.0003</t>
  </si>
  <si>
    <t>123.99.02.0004</t>
  </si>
  <si>
    <t>123.99.02.0005</t>
  </si>
  <si>
    <t>123.99.02.0006</t>
  </si>
  <si>
    <t>123.99.02.0007</t>
  </si>
  <si>
    <t>123.99.02.0008</t>
  </si>
  <si>
    <t>123.99.02.0009</t>
  </si>
  <si>
    <t>123.99.02.0011</t>
  </si>
  <si>
    <t>123.99.02.0012</t>
  </si>
  <si>
    <t>123.99.02.0013</t>
  </si>
  <si>
    <t>REDE DE DRENAGEM E AGUAS PLUVIAIS</t>
  </si>
  <si>
    <t>123.99.02.0014</t>
  </si>
  <si>
    <t>INSTAL.FIXAS DE OPERAÇÃO</t>
  </si>
  <si>
    <t>123.99.02.0015</t>
  </si>
  <si>
    <t>EQUIPAMENTOS E INST.DE COMUNICAÇÃO</t>
  </si>
  <si>
    <t>123.99.02.0017</t>
  </si>
  <si>
    <t>SISTEMA SEG.DO PORTO - 184/04</t>
  </si>
  <si>
    <t>123.99.02.0018</t>
  </si>
  <si>
    <t>123.99.02.0020</t>
  </si>
  <si>
    <t>( - ) DEPRECIACAO ACUMULADA RTT</t>
  </si>
  <si>
    <t>123.99.03.0001</t>
  </si>
  <si>
    <t>123.99.03.0002</t>
  </si>
  <si>
    <t>123.99.03.0003</t>
  </si>
  <si>
    <t>123.99.03.0004</t>
  </si>
  <si>
    <t>( - ) DEPRECIACAO ACUMULADA - TMP</t>
  </si>
  <si>
    <t>123.99.04.0001</t>
  </si>
  <si>
    <t>EDIFÍCIOS  - TMP</t>
  </si>
  <si>
    <t>123.99.04.0002</t>
  </si>
  <si>
    <t>MÓVEIS E UTENSÍLIOS - TMP</t>
  </si>
  <si>
    <t>123.99.04.0003</t>
  </si>
  <si>
    <t>123.99.04.0004</t>
  </si>
  <si>
    <t>123.99.04.0005</t>
  </si>
  <si>
    <t>SISTEMA DE REFRIGERAÇAO - TMP</t>
  </si>
  <si>
    <t>INTANGÍVEL</t>
  </si>
  <si>
    <t>124.01.01.0003</t>
  </si>
  <si>
    <t>SOFTWARE</t>
  </si>
  <si>
    <t>(-) AMORTIZAÇÃO DO INTANGIVEL</t>
  </si>
  <si>
    <t>124.99.01.0001</t>
  </si>
  <si>
    <t>(-) REDUÇÃO AO VALOR RECUPERÁVEL - INTANGÍVEL</t>
  </si>
  <si>
    <t>124.99.02.0001</t>
  </si>
  <si>
    <t>ATIVO COMPENSADO</t>
  </si>
  <si>
    <t>IMOBILIZADO - TERCEIROS</t>
  </si>
  <si>
    <t>CONVENIO CVT</t>
  </si>
  <si>
    <t>131.01.01.0001</t>
  </si>
  <si>
    <t>CVT - RECURSOS DE TERCEIROS</t>
  </si>
  <si>
    <t>PASSIVO</t>
  </si>
  <si>
    <t>PASSIVO CIRCULANTE</t>
  </si>
  <si>
    <t>FORNECEDORES DE BENS E SERVIÇOS</t>
  </si>
  <si>
    <t>FORNECEDORES COM CONTRATOS</t>
  </si>
  <si>
    <t>211.01.01.0001</t>
  </si>
  <si>
    <t>CAGECE</t>
  </si>
  <si>
    <t>211.01.01.0002</t>
  </si>
  <si>
    <t>COELCE</t>
  </si>
  <si>
    <t>211.01.01.0003</t>
  </si>
  <si>
    <t>TELEMAR NORTE LESTE S/A</t>
  </si>
  <si>
    <t>211.01.01.0008</t>
  </si>
  <si>
    <t>EMPRESA BRASIL COMUNICAÇÃO S.A- EBC</t>
  </si>
  <si>
    <t>211.01.01.0012</t>
  </si>
  <si>
    <t>BRASLIMP TRANSP ESPECIALIZADOS</t>
  </si>
  <si>
    <t>211.01.01.0014</t>
  </si>
  <si>
    <t>AUDIPLAC</t>
  </si>
  <si>
    <t>211.01.01.0018</t>
  </si>
  <si>
    <t>OMEGA SERVIÇOS DE MANUT EM ELEVADORES</t>
  </si>
  <si>
    <t>211.01.01.0040</t>
  </si>
  <si>
    <t>SINDIONIBUS</t>
  </si>
  <si>
    <t>211.01.01.0041</t>
  </si>
  <si>
    <t>CONTROLER - AUDITORIA E ASSESSORIA CONTABIL  S/C</t>
  </si>
  <si>
    <t>211.01.01.0045</t>
  </si>
  <si>
    <t>CENTRO DE INTEGRACAO EMPRESA ESCOLA - CIEE</t>
  </si>
  <si>
    <t>211.01.01.0047</t>
  </si>
  <si>
    <t>EMPRESA BRASILEIRA DE CORREIOS E TELEGRAFOS</t>
  </si>
  <si>
    <t>211.01.01.0048</t>
  </si>
  <si>
    <t>SINDICATO DOS OPERADORES PORTUARIOS DO CEARA</t>
  </si>
  <si>
    <t>211.01.01.0050</t>
  </si>
  <si>
    <t>SODEXO PASS DO BRASIL SERVICOS E COMERCIO S/A</t>
  </si>
  <si>
    <t>211.01.01.0051</t>
  </si>
  <si>
    <t>TNL PCS S/A - OI MOVEL</t>
  </si>
  <si>
    <t>211.01.01.0056</t>
  </si>
  <si>
    <t>DEPARTAMENTO NACIONAL DE TRANSITO - DETRAN</t>
  </si>
  <si>
    <t>211.01.01.0057</t>
  </si>
  <si>
    <t>SEGURADORA LIDER DOS CONSORCIOS DPVAT</t>
  </si>
  <si>
    <t>211.01.01.0062</t>
  </si>
  <si>
    <t>INTELLISISTEMAS SOLUÇÕES INTELIGENTES</t>
  </si>
  <si>
    <t>211.01.01.0069</t>
  </si>
  <si>
    <t>ENTE TECNOLOGIA GESTÃO DE PESSOAS - FORTES</t>
  </si>
  <si>
    <t>211.01.01.0072</t>
  </si>
  <si>
    <t>SECRETARIA DA FAZENDA  DO ESTADO CEARA - SEFAZ</t>
  </si>
  <si>
    <t>211.01.01.0079</t>
  </si>
  <si>
    <t>OGMO - ORGAO GESTOR DE MAO DE OBRA</t>
  </si>
  <si>
    <t>211.01.01.0080</t>
  </si>
  <si>
    <t>SET- SERVICOS ESPECIALIZADOS TELEINFORMATICA</t>
  </si>
  <si>
    <t>211.01.01.0102</t>
  </si>
  <si>
    <t>HAPVIDA ASSISTENCIA MEDICA LTDA.</t>
  </si>
  <si>
    <t>211.01.01.0103</t>
  </si>
  <si>
    <t>CRIART SERVICOS TERCEIRIZACAO LTDA</t>
  </si>
  <si>
    <t>211.01.01.0108</t>
  </si>
  <si>
    <t>VMI SISTEMAS DE SEGURANÇA LTDA</t>
  </si>
  <si>
    <t>211.01.01.0160</t>
  </si>
  <si>
    <t>ARFRIO COMERCIO E SERVIÇOS DE ARCONDICIONADOS LTDA-ME</t>
  </si>
  <si>
    <t>211.01.01.0171</t>
  </si>
  <si>
    <t>LANLINK SERVICOS DE INFORMÁTICA</t>
  </si>
  <si>
    <t>211.01.01.0180</t>
  </si>
  <si>
    <t>LIDER SERVICOS EMPRESARIAIS LTDA -ME</t>
  </si>
  <si>
    <t>211.01.01.0186</t>
  </si>
  <si>
    <t>PROSPERA AUTO SERVIÇOS LTDA</t>
  </si>
  <si>
    <t>211.01.01.0192</t>
  </si>
  <si>
    <t>XL SEGUROS BRASIL S/A</t>
  </si>
  <si>
    <t>211.01.01.0193</t>
  </si>
  <si>
    <t>TICKET SOLUCOES HDFGT S/A -( HAAG )</t>
  </si>
  <si>
    <t>211.01.01.0195</t>
  </si>
  <si>
    <t>L RABELO ENGENHARIA LTDA. ME</t>
  </si>
  <si>
    <t>211.01.01.0197</t>
  </si>
  <si>
    <t>FORTES TECNOLOGIA EM SISTEMAS LTDA</t>
  </si>
  <si>
    <t>211.01.01.0198</t>
  </si>
  <si>
    <t>FRANCA PINTO E CIA LTDA -FORTGAS</t>
  </si>
  <si>
    <t>211.01.01.0203</t>
  </si>
  <si>
    <t>P&amp;P TURISMO LTDA. EPP</t>
  </si>
  <si>
    <t>211.01.01.0289</t>
  </si>
  <si>
    <t>ETHERNUS VELORIOS E SERVICOS FUNERARIOS LTDA.-ME</t>
  </si>
  <si>
    <t>211.01.01.0290</t>
  </si>
  <si>
    <t>WN SERVICOS DE VIGILANCIA ARMADA LTDA ME</t>
  </si>
  <si>
    <t>211.01.01.0299</t>
  </si>
  <si>
    <t>AMIL ASSISTENCIA MEDICA INTERNACIONAL SA</t>
  </si>
  <si>
    <t>211.01.01.0302</t>
  </si>
  <si>
    <t>MOREIRA COSTA LABORATÓRIOS E ENG AMBIENTAL LTDA- EPP</t>
  </si>
  <si>
    <t>211.01.01.0304</t>
  </si>
  <si>
    <t>DINAMICA EMPREENDIMENTOS E SERVIÇOS EIRELI - ME</t>
  </si>
  <si>
    <t>211.01.01.0307</t>
  </si>
  <si>
    <t>ISRABRAS  SISTEMAS DE SEGURANÇA INTEGRADOS EIRELI ME</t>
  </si>
  <si>
    <t>211.01.01.0309</t>
  </si>
  <si>
    <t>GELAR REFRIGERACAO COMERCIAL LTDA</t>
  </si>
  <si>
    <t>211.01.01.0311</t>
  </si>
  <si>
    <t>3G ENGENHARIA LTDA</t>
  </si>
  <si>
    <t>211.01.01.0315</t>
  </si>
  <si>
    <t>TRIBUNAL DE JUSTIÇA DO ESTADO DO CEARA</t>
  </si>
  <si>
    <t>211.01.01.0319</t>
  </si>
  <si>
    <t>SEVEN TECNOLOGIA E CULTURA LTDA ME</t>
  </si>
  <si>
    <t>211.01.01.0324</t>
  </si>
  <si>
    <t>CAMILA FRAGOSO AGUIAR DOS ANJOS -ME</t>
  </si>
  <si>
    <t>211.01.01.0335</t>
  </si>
  <si>
    <t>COOPRATAF COOP DOS CONDUT DE RADIO TAXI DE FORT LTDA</t>
  </si>
  <si>
    <t>211.01.01.0342</t>
  </si>
  <si>
    <t>PHOCUS SERVICOS E REPRESENTACOES LTDA ME</t>
  </si>
  <si>
    <t>211.01.01.0343</t>
  </si>
  <si>
    <t>MPM LOCACOES IMPORT.E EXPORT. LTDA</t>
  </si>
  <si>
    <t>211.01.01.0344</t>
  </si>
  <si>
    <t>RIVA SAUDE AMBIENTAL LTDA ME</t>
  </si>
  <si>
    <t>211.01.01.0345</t>
  </si>
  <si>
    <t>THOMPSON SEGURANCA LTDA</t>
  </si>
  <si>
    <t>211.01.01.0346</t>
  </si>
  <si>
    <t>PROCONSULT SS LTDA ME</t>
  </si>
  <si>
    <t>FORNECEDORES COM CONTRATOS  (DIVERSOS)</t>
  </si>
  <si>
    <t>211.01.02.0002</t>
  </si>
  <si>
    <t>JUNTA COMERCIAL DO CEARA - JUCEC</t>
  </si>
  <si>
    <t>211.01.02.0022</t>
  </si>
  <si>
    <t>IMPRENSA OFICIAL DO CEARA-IOCE</t>
  </si>
  <si>
    <t>211.01.02.0023</t>
  </si>
  <si>
    <t>IMPRENSA  NACIONAL</t>
  </si>
  <si>
    <t>211.01.02.0027</t>
  </si>
  <si>
    <t>TOKYO MARINE SEGURADORA S/A -</t>
  </si>
  <si>
    <t>211.01.02.0028</t>
  </si>
  <si>
    <t>ASSOCIACAO BRASILEIRA DAS ENTIDADES PORTUARIAS</t>
  </si>
  <si>
    <t>211.01.02.0095</t>
  </si>
  <si>
    <t>EDUARDO PAES BARRETO FILHO-ME BARRETO EXTINTORES EPP</t>
  </si>
  <si>
    <t>211.01.02.0098</t>
  </si>
  <si>
    <t>CARMEHIL COMERCIAL ELETRICA LTDA</t>
  </si>
  <si>
    <t>211.01.02.0117</t>
  </si>
  <si>
    <t>D-8  PAVIMENTAÇÃO E CONSTRUÇÃO LTDA</t>
  </si>
  <si>
    <t>211.01.02.0207</t>
  </si>
  <si>
    <t>SR MOREIRA DISTRIBUIDORA LTD</t>
  </si>
  <si>
    <t>211.01.02.0216</t>
  </si>
  <si>
    <t>ANATEL</t>
  </si>
  <si>
    <t>211.01.02.0384</t>
  </si>
  <si>
    <t>SECRETARIA DA RECEITA FEDERAL</t>
  </si>
  <si>
    <t>211.01.02.0390</t>
  </si>
  <si>
    <t>PLANTUR PUBLICIDADE -MARIA DO SOCORRO L.E SILVA</t>
  </si>
  <si>
    <t>211.01.02.0455</t>
  </si>
  <si>
    <t>INSTITUTO FUTURE DE JUV PROM UR CULT E DESEN SUSTENTAVEL</t>
  </si>
  <si>
    <t>211.01.02.0516</t>
  </si>
  <si>
    <t>COMPEX TECNOLOGIA LTDA</t>
  </si>
  <si>
    <t>211.01.02.0539</t>
  </si>
  <si>
    <t>MAGAZINE DOS MOVEIS EIRELI</t>
  </si>
  <si>
    <t>211.01.02.0540</t>
  </si>
  <si>
    <t>FORTEL - FORTALEZA COMUNICACOES LTDA.</t>
  </si>
  <si>
    <t>211.01.02.0542</t>
  </si>
  <si>
    <t>A N VASCONCELOS JUNIOR ME</t>
  </si>
  <si>
    <t>211.01.02.0545</t>
  </si>
  <si>
    <t>FELIPE CARNEIRO RIBEIRO</t>
  </si>
  <si>
    <t>211.01.02.0547</t>
  </si>
  <si>
    <t>JEAB ENGENHARIA E ARQUITETURA LTDA.</t>
  </si>
  <si>
    <t>211.01.02.0548</t>
  </si>
  <si>
    <t>ASA SUL INDUSTRIA E COMERCIO DE MALHAS LTDA</t>
  </si>
  <si>
    <t>211.01.02.0549</t>
  </si>
  <si>
    <t>AGROPAULO AGRINDUSTRIA S/A</t>
  </si>
  <si>
    <t>211.01.02.0550</t>
  </si>
  <si>
    <t>LAZARO BEZERRA SOARES ME</t>
  </si>
  <si>
    <t>211.01.02.0551</t>
  </si>
  <si>
    <t>V SAUDE OCUPACIONAL LTDA-EPP</t>
  </si>
  <si>
    <t>211.01.02.0552</t>
  </si>
  <si>
    <t>LICITEC TECNOLOGIA EIRELI</t>
  </si>
  <si>
    <t>OBRIGAÇÕES TRABALHISTAS</t>
  </si>
  <si>
    <t>213.01.01.0001</t>
  </si>
  <si>
    <t>SALARIOS A PAGAR</t>
  </si>
  <si>
    <t>213.01.01.0002</t>
  </si>
  <si>
    <t>FERIAS A PAGAR</t>
  </si>
  <si>
    <t>213.01.01.0003</t>
  </si>
  <si>
    <t>RESCISÕES A PAGAR</t>
  </si>
  <si>
    <t>213.01.01.0004</t>
  </si>
  <si>
    <t>RECLAMAÇÕES TRABALHISTAS A PAGAR</t>
  </si>
  <si>
    <t>213.01.01.0005</t>
  </si>
  <si>
    <t>13º SALARIO A PAGAR</t>
  </si>
  <si>
    <t>213.01.01.0006</t>
  </si>
  <si>
    <t>HONORARIOS PESSOA FISICA -A PAGAR</t>
  </si>
  <si>
    <t>OBRIGAÇÕES FISCAIS E PREVIDENCIÁRIAS</t>
  </si>
  <si>
    <t>214.01.01.0001</t>
  </si>
  <si>
    <t>INSS A RECOLHER</t>
  </si>
  <si>
    <t>214.01.01.0002</t>
  </si>
  <si>
    <t>FGTS A RECOLHER</t>
  </si>
  <si>
    <t>214.01.01.0004</t>
  </si>
  <si>
    <t>PORTUS RTSA</t>
  </si>
  <si>
    <t>214.01.01.0005</t>
  </si>
  <si>
    <t>COFINS -CONTRIBUIÇÃO SOCIAL LEI COMPL 70/91</t>
  </si>
  <si>
    <t>214.01.01.0007</t>
  </si>
  <si>
    <t>PIS / PASEP  - A RECOLHER</t>
  </si>
  <si>
    <t>214.01.01.0008</t>
  </si>
  <si>
    <t>ASSISTENCIA MEDICA COMPLEMENTAR</t>
  </si>
  <si>
    <t>214.01.01.0009</t>
  </si>
  <si>
    <t>ISS - IMPOSTO SERVIÇOS PRESTADOS</t>
  </si>
  <si>
    <t>214.01.01.0010</t>
  </si>
  <si>
    <t>ISS RETIDO NA FONTE</t>
  </si>
  <si>
    <t>214.01.01.0011</t>
  </si>
  <si>
    <t>IMPOSTOS A RECOLHER - INSRF 480/04</t>
  </si>
  <si>
    <t>214.01.01.0015</t>
  </si>
  <si>
    <t>INSS RETIDO S/ SERVIÇOS TOMADOS</t>
  </si>
  <si>
    <t>214.01.01.0020</t>
  </si>
  <si>
    <t>REFIS INSS A PAGAR</t>
  </si>
  <si>
    <t>214.01.01.0021</t>
  </si>
  <si>
    <t>PARCELAMENTO INSS 2016</t>
  </si>
  <si>
    <t>214.01.01.0023</t>
  </si>
  <si>
    <t>PORTUS - TERMO DE COMPROMISSO FINANCEIRO</t>
  </si>
  <si>
    <t>CONSIGNAÇÕES A PAGAR</t>
  </si>
  <si>
    <t>CONSIGNAÇÕES A PAGAR - FOLHA PAGAMENTO</t>
  </si>
  <si>
    <t>215.01.01.0001</t>
  </si>
  <si>
    <t>CONTRIBUIÇÃO SINDICAL</t>
  </si>
  <si>
    <t>215.01.01.0002</t>
  </si>
  <si>
    <t>IRRF - IMPOSTO RETIDO NA FONTE</t>
  </si>
  <si>
    <t>215.01.01.0005</t>
  </si>
  <si>
    <t>BRADESCO  SEGUROS DE VIDA</t>
  </si>
  <si>
    <t>215.01.01.0006</t>
  </si>
  <si>
    <t>CAPEMI</t>
  </si>
  <si>
    <t>215.01.01.0007</t>
  </si>
  <si>
    <t>ASSOCIAÇÃO GUARDA PORT ESTADO DO CEARA -AGPORTEC</t>
  </si>
  <si>
    <t>215.01.01.0008</t>
  </si>
  <si>
    <t>SINDEPOR   SIND EMPREG EMP EXPORT</t>
  </si>
  <si>
    <t>215.01.01.0009</t>
  </si>
  <si>
    <t>PENSÃO ALIMENTICIA</t>
  </si>
  <si>
    <t>215.01.01.0010</t>
  </si>
  <si>
    <t>PORTUS  CONTRIBUIÇÃO</t>
  </si>
  <si>
    <t>215.01.01.0012</t>
  </si>
  <si>
    <t>UNEDOCAS - UNIÃO DOS EMPREG CIA DOCAS</t>
  </si>
  <si>
    <t>215.01.01.0013</t>
  </si>
  <si>
    <t>ODONTOART CLINIC ASSIS ODONTO LTDA</t>
  </si>
  <si>
    <t>215.01.01.0016</t>
  </si>
  <si>
    <t>PLANO FUNERARIO-ESTENDIDO</t>
  </si>
  <si>
    <t>CONSIGNAÇÕES A PAGAR - EMPRESTIMOS FOLHA DE PAGAMENTO</t>
  </si>
  <si>
    <t>215.01.02.0002</t>
  </si>
  <si>
    <t>EMPRESTIMO BANCO DO BRASIL</t>
  </si>
  <si>
    <t>215.01.02.0004</t>
  </si>
  <si>
    <t>EMPRESTIMO BV</t>
  </si>
  <si>
    <t>215.01.02.0005</t>
  </si>
  <si>
    <t>EMPRESTIMO CEF</t>
  </si>
  <si>
    <t>CREDORES DIVERSOS</t>
  </si>
  <si>
    <t>CREDORES POR DEPOSITOS CAUCIONADOS</t>
  </si>
  <si>
    <t>217.01.01.0001</t>
  </si>
  <si>
    <t>REDAV SERVIÇOS DE ENGENHARIA LTDA</t>
  </si>
  <si>
    <t>217.01.01.0002</t>
  </si>
  <si>
    <t>IEC INST ENG CORROSÃO LTDA</t>
  </si>
  <si>
    <t>217.01.01.0006</t>
  </si>
  <si>
    <t>CEARA FORTE SEGURANÇA LTDA</t>
  </si>
  <si>
    <t>217.01.01.0007</t>
  </si>
  <si>
    <t>STEFANINI CONSULTORIA E ASSES EM INFORMATICA</t>
  </si>
  <si>
    <t>217.01.01.0027</t>
  </si>
  <si>
    <t>ALPHA MARKTEC MAT ELETRICOS LTDA</t>
  </si>
  <si>
    <t>217.01.01.0031</t>
  </si>
  <si>
    <t>NORDESTE EMERGENCIAS E SOLUCOES MÉDICAS LTDA</t>
  </si>
  <si>
    <t>217.01.01.0032</t>
  </si>
  <si>
    <t>EDUARDO PAZ BARRETO FILHO - ME</t>
  </si>
  <si>
    <t>217.01.01.0033</t>
  </si>
  <si>
    <t>VIP SAUDE OCUPACIONAL</t>
  </si>
  <si>
    <t>217.01.01.0034</t>
  </si>
  <si>
    <t>PROCONSULT</t>
  </si>
  <si>
    <t>217.01.01.0035</t>
  </si>
  <si>
    <t>FORTES TECNOLOGIA</t>
  </si>
  <si>
    <t>217.01.01.0036</t>
  </si>
  <si>
    <t>COMPEX IND E COM DE PESCA E EXPORT LTDA</t>
  </si>
  <si>
    <t>CREDORES  DIVERSOS</t>
  </si>
  <si>
    <t>217.01.02.0003</t>
  </si>
  <si>
    <t>GALVANI INDUSTRIA</t>
  </si>
  <si>
    <t>217.01.02.0006</t>
  </si>
  <si>
    <t>ANVISA - AG NAC VIGILANCIA SANITARIA</t>
  </si>
  <si>
    <t>217.01.02.0007</t>
  </si>
  <si>
    <t>PETROLEO BRASILEIRO</t>
  </si>
  <si>
    <t>217.01.02.0008</t>
  </si>
  <si>
    <t>EMP BRAS DE CORREIOS E TELEG</t>
  </si>
  <si>
    <t>217.01.02.0012</t>
  </si>
  <si>
    <t>VICUNHA NORDESTE S/A INDUSTRIAL</t>
  </si>
  <si>
    <t>217.01.02.0013</t>
  </si>
  <si>
    <t>IRACEMA IND DE CAJU LTDA</t>
  </si>
  <si>
    <t>217.01.02.0014</t>
  </si>
  <si>
    <t>M.DIAS BRANCO S/A</t>
  </si>
  <si>
    <t>217.01.02.0015</t>
  </si>
  <si>
    <t>BANCO DO BRASIL S/A</t>
  </si>
  <si>
    <t>217.01.02.0017</t>
  </si>
  <si>
    <t>DEPOSITO NAVAL DE NATAL</t>
  </si>
  <si>
    <t>217.01.02.0018</t>
  </si>
  <si>
    <t>NAVEGAÇÃO VALE DO RIO DOCE S/A</t>
  </si>
  <si>
    <t>217.01.02.0020</t>
  </si>
  <si>
    <t>TERGRAN TERM DE GRAOS DE FORTALEZA</t>
  </si>
  <si>
    <t>217.01.02.0021</t>
  </si>
  <si>
    <t>CMA - CGM</t>
  </si>
  <si>
    <t>217.01.02.0022</t>
  </si>
  <si>
    <t>ALIANÇA NAVEGAÇÃO E LOGISTICA LTDA</t>
  </si>
  <si>
    <t>217.01.02.0023</t>
  </si>
  <si>
    <t>UNILINK TRANSP INTEGRADOS LTDA</t>
  </si>
  <si>
    <t>217.01.02.0024</t>
  </si>
  <si>
    <t>DELEGACIA REGIONAL DO TRABALHO</t>
  </si>
  <si>
    <t>217.01.02.0028</t>
  </si>
  <si>
    <t>GERDAU AÇOS LONGOS</t>
  </si>
  <si>
    <t>217.01.02.0029</t>
  </si>
  <si>
    <t>SANTALUCIA</t>
  </si>
  <si>
    <t>217.01.02.0031</t>
  </si>
  <si>
    <t>VOTORANTIM CIMENTOS N/NE S.A</t>
  </si>
  <si>
    <t>217.01.02.0032</t>
  </si>
  <si>
    <t>AGRIVALE - AGRICULTURA DO VALE LTDA</t>
  </si>
  <si>
    <t>217.01.02.0033</t>
  </si>
  <si>
    <t>LOGIMASTERS TRANSP NACIONAL E INTERN</t>
  </si>
  <si>
    <t>217.01.02.0034</t>
  </si>
  <si>
    <t>SUPERINTENDENCIA FEDERAL DE AGRICULTURA</t>
  </si>
  <si>
    <t>217.01.02.0036</t>
  </si>
  <si>
    <t>ORG HELIO MEIRELES PETROLEO</t>
  </si>
  <si>
    <t>217.01.02.0038</t>
  </si>
  <si>
    <t>MI2 COML IMPORTADORA E EXPORTADORA</t>
  </si>
  <si>
    <t>217.01.02.0039</t>
  </si>
  <si>
    <t>INTERMELON COML. EXP IMP LTDA</t>
  </si>
  <si>
    <t>217.01.02.0040</t>
  </si>
  <si>
    <t>SUZLON</t>
  </si>
  <si>
    <t>217.01.02.0043</t>
  </si>
  <si>
    <t>ISS MARINE</t>
  </si>
  <si>
    <t>217.01.02.0045</t>
  </si>
  <si>
    <t>EMITRADE MARKETING E TRANSPORTE INTERNACIONAL LTDA</t>
  </si>
  <si>
    <t>217.01.02.0046</t>
  </si>
  <si>
    <t>EDITORA VERDES MARES LTDA</t>
  </si>
  <si>
    <t>217.01.02.0047</t>
  </si>
  <si>
    <t>TRANSNORDESTINA LOGISTICA S/A</t>
  </si>
  <si>
    <t>217.01.02.0048</t>
  </si>
  <si>
    <t>AG LOGISTICS</t>
  </si>
  <si>
    <t>217.01.02.0049</t>
  </si>
  <si>
    <t>BRAZSHIPPING MARITIMA LTDA.</t>
  </si>
  <si>
    <t>217.01.02.0051</t>
  </si>
  <si>
    <t>ARCELORMITTAL BRASIL SA</t>
  </si>
  <si>
    <t>217.01.02.0052</t>
  </si>
  <si>
    <t>FORT TUDO BRINQUEDOS E PRESENTES LTDA</t>
  </si>
  <si>
    <t>217.01.02.0057</t>
  </si>
  <si>
    <t>CVC</t>
  </si>
  <si>
    <t>217.01.02.0058</t>
  </si>
  <si>
    <t>BOLLO BRASIL PRODUÇÃO Y COMERCIALIZAÇÃO DE FRUTAS</t>
  </si>
  <si>
    <t>217.01.02.0061</t>
  </si>
  <si>
    <t>TRANSMODAL COMERCIO E SERVICOS</t>
  </si>
  <si>
    <t>217.01.02.0062</t>
  </si>
  <si>
    <t>INDUSTRIA NAVAL DO CEARA S/A</t>
  </si>
  <si>
    <t>217.01.02.0063</t>
  </si>
  <si>
    <t>WILSON, SONS AGENCIA MARITIMA LTDA</t>
  </si>
  <si>
    <t>217.01.02.0064</t>
  </si>
  <si>
    <t>AG LOGISTICS DO BRASIL LTDA</t>
  </si>
  <si>
    <t>217.01.02.0065</t>
  </si>
  <si>
    <t>COMPANHIA ENERGETICA DO CEARA - COELCE</t>
  </si>
  <si>
    <t>217.01.02.0068</t>
  </si>
  <si>
    <t>CSN CIMENTOS</t>
  </si>
  <si>
    <t>217.01.02.0070</t>
  </si>
  <si>
    <t>COMERCIAL DE MIUDEZAS FREITAS LTDA.</t>
  </si>
  <si>
    <t>217.01.02.0071</t>
  </si>
  <si>
    <t>P F M  COMERCIAL LTDA.</t>
  </si>
  <si>
    <t>217.01.02.0075</t>
  </si>
  <si>
    <t>POLO NORTE TRANSPORTES LTDA</t>
  </si>
  <si>
    <t>217.01.02.0076</t>
  </si>
  <si>
    <t>TROPICAL NORDESTE FRUIT AGROINDUST LTDA</t>
  </si>
  <si>
    <t>217.01.02.0077</t>
  </si>
  <si>
    <t>SLB LTDA</t>
  </si>
  <si>
    <t>217.01.02.0079</t>
  </si>
  <si>
    <t>MARFRET COMPANY MARITIMA</t>
  </si>
  <si>
    <t>217.01.02.0081</t>
  </si>
  <si>
    <t>IMC SASTE - CONSTRUCOES SERV E COM LTDA.</t>
  </si>
  <si>
    <t>217.01.02.0082</t>
  </si>
  <si>
    <t>ESMALTEC S/A</t>
  </si>
  <si>
    <t>217.01.02.0083</t>
  </si>
  <si>
    <t>OCEANICA ENGENHARIA LTDA</t>
  </si>
  <si>
    <t>217.01.02.0084</t>
  </si>
  <si>
    <t>COMANDO DA FORÇA SUPERFICIE</t>
  </si>
  <si>
    <t>217.01.02.0085</t>
  </si>
  <si>
    <t>OUROFERTIL NORDESTE LTDA.</t>
  </si>
  <si>
    <t>217.01.02.0086</t>
  </si>
  <si>
    <t>ALCOA WORLD ALUMINA DO BRASIL LTDA</t>
  </si>
  <si>
    <t>217.01.02.0087</t>
  </si>
  <si>
    <t>SARAIVA TRANSPORTES LTDA</t>
  </si>
  <si>
    <t>217.01.02.0088</t>
  </si>
  <si>
    <t>GALVAO TRANSPORTES LTDA</t>
  </si>
  <si>
    <t>217.01.02.0090</t>
  </si>
  <si>
    <t>TG2 TRANSPORTES RODOVIARIO</t>
  </si>
  <si>
    <t>217.01.02.0093</t>
  </si>
  <si>
    <t>ALBA HEREDIA DANRIDGE</t>
  </si>
  <si>
    <t>217.01.02.0095</t>
  </si>
  <si>
    <t>SOBRARE SERVERMAR LTDA</t>
  </si>
  <si>
    <t>217.01.02.0096</t>
  </si>
  <si>
    <t>LINEU PINZON</t>
  </si>
  <si>
    <t>217.01.02.0097</t>
  </si>
  <si>
    <t>GENERAL ELETRIC ENERGY DO BRASIL</t>
  </si>
  <si>
    <t>217.01.02.0099</t>
  </si>
  <si>
    <t>SIEMENS LTDA</t>
  </si>
  <si>
    <t>217.01.02.0101</t>
  </si>
  <si>
    <t>REALENGO ALIMENTOS LTDA-ME</t>
  </si>
  <si>
    <t>217.01.02.0104</t>
  </si>
  <si>
    <t>SLC ALIMENTOS LTDA</t>
  </si>
  <si>
    <t>217.01.02.0105</t>
  </si>
  <si>
    <t>CARAJAS LOC DE MAQ E EQUIP. E TRANSP. LTDA</t>
  </si>
  <si>
    <t>217.01.02.0108</t>
  </si>
  <si>
    <t>FILTERMASTER -FILTROS MAGNETICOS DO BRASIL LTDA.</t>
  </si>
  <si>
    <t>217.01.02.0109</t>
  </si>
  <si>
    <t>SANTOUL DO BRASIL</t>
  </si>
  <si>
    <t>217.01.02.0112</t>
  </si>
  <si>
    <t>VESTAS DO BRASIL ENERGIA EOLICA LTDA.</t>
  </si>
  <si>
    <t>217.01.02.0113</t>
  </si>
  <si>
    <t>TRACOL - AGENCIA MARITIMA TRANSC. LTDA</t>
  </si>
  <si>
    <t>217.01.02.0114</t>
  </si>
  <si>
    <t>E MARKETING TRAN INT LTDA</t>
  </si>
  <si>
    <t>217.01.02.0117</t>
  </si>
  <si>
    <t>JCG DESPACHO MARITIMO</t>
  </si>
  <si>
    <t>217.01.02.0118</t>
  </si>
  <si>
    <t>PORTO DO PECEM GERACAO DE ENERGIA S/A</t>
  </si>
  <si>
    <t>217.01.02.0120</t>
  </si>
  <si>
    <t>BROK FRESH FRUIT COMERCIAL LTDA</t>
  </si>
  <si>
    <t>217.01.02.0121</t>
  </si>
  <si>
    <t>J M ADUANEIRA SERVIÇOS</t>
  </si>
  <si>
    <t>217.01.02.0122</t>
  </si>
  <si>
    <t>GAMESA EOLICA BRASIL LTDA.</t>
  </si>
  <si>
    <t>217.01.02.0123</t>
  </si>
  <si>
    <t>FTL TRANSNORDESTINA LOGISTICA SA</t>
  </si>
  <si>
    <t>217.01.02.0124</t>
  </si>
  <si>
    <t>TUGBRASIL APOIO PORTUARIO S/A</t>
  </si>
  <si>
    <t>217.01.02.0128</t>
  </si>
  <si>
    <t>SINOBRAS SIDERURGICA NORTE BRASIL S/A</t>
  </si>
  <si>
    <t>217.01.02.0131</t>
  </si>
  <si>
    <t>BRANDAO FILHOS FORTSHIP AG MARITIMA LTDA</t>
  </si>
  <si>
    <t>217.01.02.0132</t>
  </si>
  <si>
    <t>ASSOC DOS PESQ E MEDIOS ARMADORES PESCA DE FORTALEZA</t>
  </si>
  <si>
    <t>217.01.02.0134</t>
  </si>
  <si>
    <t>INTERCOMMERCE CONSULTORIA E COM EXTERIOR LTDA</t>
  </si>
  <si>
    <t>217.01.02.0135</t>
  </si>
  <si>
    <t>SABOR NATIVO COMERCIO IND E FRUTAS LTDA</t>
  </si>
  <si>
    <t>217.01.02.0136</t>
  </si>
  <si>
    <t>JBS SA</t>
  </si>
  <si>
    <t>217.01.02.0138</t>
  </si>
  <si>
    <t>COMISSARIA DE DESPACHOS NELSON SEARA HEUSI LTDA</t>
  </si>
  <si>
    <t>217.01.02.0139</t>
  </si>
  <si>
    <t>CUSTOM COM INTERNACIONAL LTDA</t>
  </si>
  <si>
    <t>217.01.02.0140</t>
  </si>
  <si>
    <t>GUARARAPES CONFECCOES</t>
  </si>
  <si>
    <t>217.01.02.0142</t>
  </si>
  <si>
    <t>HDG SERVICOS AMBIENTAIS LTDA</t>
  </si>
  <si>
    <t>217.01.02.0143</t>
  </si>
  <si>
    <t>BRASBUNKER PARTICIPACOES S/A</t>
  </si>
  <si>
    <t>217.01.02.0149</t>
  </si>
  <si>
    <t>CBC PRODUCAO DE BULBOS CEARA LTDA.</t>
  </si>
  <si>
    <t>217.01.02.0153</t>
  </si>
  <si>
    <t>PGS - INVESTIGAÇÃO PETROLIFERA LTDA</t>
  </si>
  <si>
    <t>217.01.02.0158</t>
  </si>
  <si>
    <t>APM TERMINAIS</t>
  </si>
  <si>
    <t>217.01.02.0159</t>
  </si>
  <si>
    <t>COMANDO DO GRUPAMENTO DE PATRULHA NAVAL</t>
  </si>
  <si>
    <t>217.01.02.0160</t>
  </si>
  <si>
    <t>MULTLOG LOCAÇÕES SERVIÇOS LOGÍSTICOS LTDA</t>
  </si>
  <si>
    <t>217.01.02.0162</t>
  </si>
  <si>
    <t>SAVEIROS CAMUYRANO SERVIÇOS MARITIMOS S/A</t>
  </si>
  <si>
    <t>217.01.02.0165</t>
  </si>
  <si>
    <t>SMART CARGAS TRANSPORTES E LOGISTICA LTDA - EPP</t>
  </si>
  <si>
    <t>217.01.02.0169</t>
  </si>
  <si>
    <t>OPERADORA PORTUARIA TRUST EXPRESS LTDA</t>
  </si>
  <si>
    <t>217.01.02.0171</t>
  </si>
  <si>
    <t>UNIMED DE FORTALEZA COOPERATIVA</t>
  </si>
  <si>
    <t>217.01.02.0172</t>
  </si>
  <si>
    <t>COOPERATIVA AGROPECUARIA DE TUBARAO</t>
  </si>
  <si>
    <t>217.01.02.0173</t>
  </si>
  <si>
    <t>GREAT OCEAN NORDESTE SERVIÇOS MARITIMOS LTDA</t>
  </si>
  <si>
    <t>217.01.02.0177</t>
  </si>
  <si>
    <t>LIDER CONTROLE AMBIENTAL LTDA.</t>
  </si>
  <si>
    <t>217.01.02.0178</t>
  </si>
  <si>
    <t>AGROPECUARIA NOSSA SENHORA DO BONSUCESSO</t>
  </si>
  <si>
    <t>217.01.02.0180</t>
  </si>
  <si>
    <t>LGA TRANSPORTES</t>
  </si>
  <si>
    <t>217.01.02.0181</t>
  </si>
  <si>
    <t>AGRICOLA FAMOSA LTDA</t>
  </si>
  <si>
    <t>217.01.02.0183</t>
  </si>
  <si>
    <t>PETROBRAS TRANSPORTES S/A - TRANSPETRO</t>
  </si>
  <si>
    <t>217.01.02.0184</t>
  </si>
  <si>
    <t>SONO BRASIL INDUSTRIA COMERCIO IMPORTAÇÃO</t>
  </si>
  <si>
    <t>217.01.02.0186</t>
  </si>
  <si>
    <t>FUNDAÇÃO CEARENSE DE PESQUISA E CULTURA FCPC</t>
  </si>
  <si>
    <t>0,01</t>
  </si>
  <si>
    <t>217.01.02.0194</t>
  </si>
  <si>
    <t>ENERGY POWER LTDA</t>
  </si>
  <si>
    <t>217.01.02.0999</t>
  </si>
  <si>
    <t>CREDITOS/DEBITOS NÃO IDENTIFICADOS</t>
  </si>
  <si>
    <t>CREDORES DIVERSOS - IPTU</t>
  </si>
  <si>
    <t>217.01.03.0001</t>
  </si>
  <si>
    <t>IPTU J MACEDO SA</t>
  </si>
  <si>
    <t>217.01.03.0002</t>
  </si>
  <si>
    <t>IPTU DANIEL TRANSPORTES LTDA</t>
  </si>
  <si>
    <t>217.01.03.0003</t>
  </si>
  <si>
    <t>IPTU MARINHA MERCANTE</t>
  </si>
  <si>
    <t>217.01.03.0004</t>
  </si>
  <si>
    <t>IPTU CIA FERROVIA DO NORDESTE</t>
  </si>
  <si>
    <t>217.01.03.0005</t>
  </si>
  <si>
    <t>IPTU ANVISA</t>
  </si>
  <si>
    <t>217.01.03.0006</t>
  </si>
  <si>
    <t>IPTU EMP BRAS CORREIOS TELEG</t>
  </si>
  <si>
    <t>217.01.03.0007</t>
  </si>
  <si>
    <t>IPTU IPEM / INMETRO</t>
  </si>
  <si>
    <t>217.01.03.0008</t>
  </si>
  <si>
    <t>IPTU M DIAS BRANCO</t>
  </si>
  <si>
    <t>217.01.03.0009</t>
  </si>
  <si>
    <t>IPTU BANCO DO BRASIL</t>
  </si>
  <si>
    <t>217.01.03.0010</t>
  </si>
  <si>
    <t>IPTU TERGRAN</t>
  </si>
  <si>
    <t>217.01.03.0011</t>
  </si>
  <si>
    <t>IPTU UNILINK TRANSP INTEGRADOS LTDA</t>
  </si>
  <si>
    <t>217.01.03.0012</t>
  </si>
  <si>
    <t>IPTU DELEGACIA REGIONAL DO TRABALHO</t>
  </si>
  <si>
    <t>217.01.03.0014</t>
  </si>
  <si>
    <t>IPTU TRANSPORTADORA KELLY</t>
  </si>
  <si>
    <t>217.01.03.0015</t>
  </si>
  <si>
    <t>IPTU TERMACO TERM MAR DE CONT E SERV ACES LTDA</t>
  </si>
  <si>
    <t>217.01.03.0016</t>
  </si>
  <si>
    <t>IPTU OGMO - ORG GEST</t>
  </si>
  <si>
    <t>217.01.03.0017</t>
  </si>
  <si>
    <t>IPTU ORG. HELIO MEIRELES</t>
  </si>
  <si>
    <t>217.01.03.0018</t>
  </si>
  <si>
    <t>IPTU ORG. PAULO ROCHA</t>
  </si>
  <si>
    <t>217.01.03.0019</t>
  </si>
  <si>
    <t>IPTU - GALVANI INDUSTRIA</t>
  </si>
  <si>
    <t>217.01.03.0020</t>
  </si>
  <si>
    <t>IPTU - V. CASTRO &amp; CIA LTDA</t>
  </si>
  <si>
    <t>217.01.03.0021</t>
  </si>
  <si>
    <t>IPTU SUPERINTENDENCIA DA POLICIA FEDERAL</t>
  </si>
  <si>
    <t>217.01.03.0022</t>
  </si>
  <si>
    <t>IPTU - SECRET DESENV AGRARIO</t>
  </si>
  <si>
    <t>217.01.03.0023</t>
  </si>
  <si>
    <t>IPTU CARAJAS</t>
  </si>
  <si>
    <t>217.01.03.0024</t>
  </si>
  <si>
    <t>IPTU SECRETARIA DA FAZENDA</t>
  </si>
  <si>
    <t>217.01.03.9999</t>
  </si>
  <si>
    <t>RENDIMENTO APLICACAO IPTU</t>
  </si>
  <si>
    <t>CREDORES DIVERSOS - AFORAMENTO</t>
  </si>
  <si>
    <t>217.01.04.0001</t>
  </si>
  <si>
    <t>AFORAMENTO - MARINHA MERCANTE</t>
  </si>
  <si>
    <t>217.01.04.0002</t>
  </si>
  <si>
    <t>AFORAMENTO - OGMO</t>
  </si>
  <si>
    <t>217.01.04.0003</t>
  </si>
  <si>
    <t>AFORAMENTO - SECRET DA FAZENDA ESTADO CEARA</t>
  </si>
  <si>
    <t>217.01.04.0004</t>
  </si>
  <si>
    <t>AFORAMENTO - DANIEL TRANSPORTES</t>
  </si>
  <si>
    <t>217.01.04.0005</t>
  </si>
  <si>
    <t>AFORAMENTO - TERMACO</t>
  </si>
  <si>
    <t>217.01.04.0006</t>
  </si>
  <si>
    <t>AFORAMENTO - TERGRAN</t>
  </si>
  <si>
    <t>217.01.04.0007</t>
  </si>
  <si>
    <t>AFORAMENTO - ORG PAULO ROCHA</t>
  </si>
  <si>
    <t>217.01.04.0008</t>
  </si>
  <si>
    <t>AFORAMENTO - ORG HELIO MEIRELES</t>
  </si>
  <si>
    <t>217.01.04.0009</t>
  </si>
  <si>
    <t>AFORAMENTO - M DIAS BRANCO</t>
  </si>
  <si>
    <t>217.01.04.0010</t>
  </si>
  <si>
    <t>AFORAMENTO - UNILINK</t>
  </si>
  <si>
    <t>217.01.04.0011</t>
  </si>
  <si>
    <t>AFORAMENTO - TRANSPORTADORA KELLY</t>
  </si>
  <si>
    <t>217.01.04.0012</t>
  </si>
  <si>
    <t>AFORAMENTO - EMP. BRAS. DE CORREIOS E TELEG.</t>
  </si>
  <si>
    <t>217.01.04.0013</t>
  </si>
  <si>
    <t>AFORAMENTO - BANCO DO BRASIL</t>
  </si>
  <si>
    <t>217.01.04.0014</t>
  </si>
  <si>
    <t>AFORAMENTO - IPEM / INMETRO</t>
  </si>
  <si>
    <t>217.01.04.0015</t>
  </si>
  <si>
    <t>AFORAMENTO - ANVISA</t>
  </si>
  <si>
    <t>217.01.04.0016</t>
  </si>
  <si>
    <t>AFORAMENTO - SUPERINT. REGIONAL DO TRABALHO E EMPREGO</t>
  </si>
  <si>
    <t>217.01.04.0017</t>
  </si>
  <si>
    <t>AFORAMENTO - MULTICARGO</t>
  </si>
  <si>
    <t>217.01.04.0018</t>
  </si>
  <si>
    <t>AFORAMENTO - FTL - FERROVIA TRANSNORDESTINA</t>
  </si>
  <si>
    <t>217.01.04.0019</t>
  </si>
  <si>
    <t>AFORAMENTO - J MACEDO</t>
  </si>
  <si>
    <t>217.01.04.0020</t>
  </si>
  <si>
    <t>AFORAMENTO - PETROBRAS</t>
  </si>
  <si>
    <t>217.01.04.0021</t>
  </si>
  <si>
    <t>AFORAMENTO - MULTILOG</t>
  </si>
  <si>
    <t>217.01.04.0022</t>
  </si>
  <si>
    <t>AFORAMENTO - GALVANI</t>
  </si>
  <si>
    <t>217.01.04.0023</t>
  </si>
  <si>
    <t>AFORAMENTO - PROGECO DO BRASIL</t>
  </si>
  <si>
    <t>217.01.04.0024</t>
  </si>
  <si>
    <t>AFORAMENTO - R NORDESTE</t>
  </si>
  <si>
    <t>217.01.04.0025</t>
  </si>
  <si>
    <t>AFORAMENTO -  SAVEIROS CAMUY</t>
  </si>
  <si>
    <t>217.01.04.0026</t>
  </si>
  <si>
    <t>AFORAMENTO - JP CONSULTORIA</t>
  </si>
  <si>
    <t>217.01.04.0027</t>
  </si>
  <si>
    <t>AFORAMENTO - CORPO DE BOMBEIROS</t>
  </si>
  <si>
    <t>217.01.04.0028</t>
  </si>
  <si>
    <t>AFORAMENTO - TRANSPETRO</t>
  </si>
  <si>
    <t>217.01.04.0029</t>
  </si>
  <si>
    <t>AFORAMENTO - BRANDAO E FILHOS</t>
  </si>
  <si>
    <t>217.01.04.0030</t>
  </si>
  <si>
    <t>AFORAMENTO - CEARA MARINE</t>
  </si>
  <si>
    <t>217.01.04.0031</t>
  </si>
  <si>
    <t>AFORAMENTO - V.CASTRO E CIA</t>
  </si>
  <si>
    <t>217.01.04.0032</t>
  </si>
  <si>
    <t>AFORAMENTO - COOPERATIVA DOS ARMADORES DE PESCA DO CEARA</t>
  </si>
  <si>
    <t>217.01.04.0033</t>
  </si>
  <si>
    <t>AFORAMENTO - SUPERINTENDENCIA REGIONAL NO ESTADO DO CEARA</t>
  </si>
  <si>
    <t>OUTRAS OBRIGAÇÕES</t>
  </si>
  <si>
    <t>CONVÊNIOS</t>
  </si>
  <si>
    <t>CONSTRUÇÃO DO CENTRO VOCACIONAL DE TREINAMENTO</t>
  </si>
  <si>
    <t>218.01.02.0001</t>
  </si>
  <si>
    <t>CVT - BANCOS</t>
  </si>
  <si>
    <t>APLICAÇÃO MELHORIAS DO MEIO AMBIENTE</t>
  </si>
  <si>
    <t>218.01.03.0001</t>
  </si>
  <si>
    <t>SEP MONIT AMBIENTAL - BANCOS</t>
  </si>
  <si>
    <t>AÇOES JUDICIAIS</t>
  </si>
  <si>
    <t>ACÕES CIVEIS</t>
  </si>
  <si>
    <t>218.02.01.0001</t>
  </si>
  <si>
    <t>AÇOES CIVEIS</t>
  </si>
  <si>
    <t>AÇÕES FEDERAIS</t>
  </si>
  <si>
    <t>218.02.02.0001</t>
  </si>
  <si>
    <t>AÇÕES TRIBUTÁRIAS</t>
  </si>
  <si>
    <t>218.02.03.0001</t>
  </si>
  <si>
    <t>PROVISÕES</t>
  </si>
  <si>
    <t>219.01.01.0001</t>
  </si>
  <si>
    <t>PROVISÃO PARA 13º SALARIO</t>
  </si>
  <si>
    <t>219.01.01.0002</t>
  </si>
  <si>
    <t>PROVISÃO  PARA FÉRIAS</t>
  </si>
  <si>
    <t>219.01.01.0003</t>
  </si>
  <si>
    <t>PROVISÃO INSS S/FÉRIAS</t>
  </si>
  <si>
    <t>219.01.01.0004</t>
  </si>
  <si>
    <t>PROVISÃO FGTS S/FÉRIAS</t>
  </si>
  <si>
    <t>219.01.01.0007</t>
  </si>
  <si>
    <t>PROVISÃO PORTUS PARA 13º.SALARIO E FERIAS - PATRONAL</t>
  </si>
  <si>
    <t>219.01.01.0008</t>
  </si>
  <si>
    <t>PROVISAO PARA INSS 13º</t>
  </si>
  <si>
    <t>219.01.01.0009</t>
  </si>
  <si>
    <t>PROVISAO PARA FGTS 13º</t>
  </si>
  <si>
    <t>PASSIVO NÃO CIRCULANTE</t>
  </si>
  <si>
    <t>OBRIGAÇÕES FISCAIS E PREVIDENCIÁRIAS EM LONGO PRAZO</t>
  </si>
  <si>
    <t>OBRIGACOES FISCAIS E PREVIDENCIARIAS EM LONGO PRAZO</t>
  </si>
  <si>
    <t>224.01.01.0001</t>
  </si>
  <si>
    <t>224.01.01.0003</t>
  </si>
  <si>
    <t>OBRIGAÇÕES SOCIETÁRIAS EM LONGO PRAZO</t>
  </si>
  <si>
    <t>CREDITOS PARA FUTURO AUMENTO DE CAPITAL</t>
  </si>
  <si>
    <t>225.01.01.0001</t>
  </si>
  <si>
    <t>GOVERNO FEDERAL</t>
  </si>
  <si>
    <t>225.01.01.0002</t>
  </si>
  <si>
    <t>GOVERNO ESTADUAL E MUNICIPAL</t>
  </si>
  <si>
    <t>OBRIGAÇÕES PLANO DE PREVIDÊNCIA PORTUS</t>
  </si>
  <si>
    <t>PROVISAO PASSIVO ATUARIAL - PORTUS</t>
  </si>
  <si>
    <t>226.01.01.0001</t>
  </si>
  <si>
    <t>PROVISÃO PLANO DE PENSÃO PORTUS - OBRIGAÇÃO</t>
  </si>
  <si>
    <t>226.01.01.0002</t>
  </si>
  <si>
    <t>(+/-) PROVISAO PORTUS - REMENSURAÇÃO (GANHOS/PERDAS)</t>
  </si>
  <si>
    <t>226.01.01.0003</t>
  </si>
  <si>
    <t>PATRIMÔNIO LÍQUIDO</t>
  </si>
  <si>
    <t>CAPITAL SOCIAL</t>
  </si>
  <si>
    <t>231.01.01.0001</t>
  </si>
  <si>
    <t>231.01.01.0002</t>
  </si>
  <si>
    <t>AJUSTES DE AVALIAÇÃO PATRIMONIAL</t>
  </si>
  <si>
    <t>AJUSTE DE AVALIAÇÃO PATRIMONIAL</t>
  </si>
  <si>
    <t>234.01.01.0002</t>
  </si>
  <si>
    <t>AJUSTES DE AVALIAÇÃO PATRIMONIAL -PORTUS</t>
  </si>
  <si>
    <t>RESERVAS DE LUCROS</t>
  </si>
  <si>
    <t>RESERVA DE LUCROS</t>
  </si>
  <si>
    <t>237.01.01.0003</t>
  </si>
  <si>
    <t>RESERVA ESPECIAL</t>
  </si>
  <si>
    <t>CREDITOS PARA AUMENTO DE CAPITAL</t>
  </si>
  <si>
    <t>238.01.01.0001</t>
  </si>
  <si>
    <t>LUCROS E PREJUÍZOS</t>
  </si>
  <si>
    <t>LUCROS E PREJUÍZOS DO EXERCÍCIO</t>
  </si>
  <si>
    <t>239.01.01.0001</t>
  </si>
  <si>
    <t>SALDO CREDOR OU DEVEDOR ACUMULADO</t>
  </si>
  <si>
    <t>239.01.01.0002</t>
  </si>
  <si>
    <t>LUCROS OU PREJUIZOS DO EXERCICIO</t>
  </si>
  <si>
    <t>LUCROS/ PREJUÍZOS ACUMULADOS</t>
  </si>
  <si>
    <t>239.01.02.0005</t>
  </si>
  <si>
    <t>(-) PREJUÍZOS ACUMULADOS EXERCÍCIO 2018</t>
  </si>
  <si>
    <t>239.01.02.0006</t>
  </si>
  <si>
    <t>(-) PREJUÍZOS ACUMULADOS EXERCÍCIO 2019</t>
  </si>
  <si>
    <t>AJUSTES</t>
  </si>
  <si>
    <t>239.01.03.0001</t>
  </si>
  <si>
    <t>AJUSTES DE EXERCÍCIOS ANTERIORES - PORTUS</t>
  </si>
  <si>
    <t>PASSIVO COMPENSADO</t>
  </si>
  <si>
    <t>IMOBILIZADO CONVENIO - CVT</t>
  </si>
  <si>
    <t>241.01.01.0001</t>
  </si>
  <si>
    <t>RESULTADO - RECEITA OPERACIONAL LÍQUIDA</t>
  </si>
  <si>
    <t>RECEITA OPERACIONAL BRUTA</t>
  </si>
  <si>
    <t>ATIVIDADES GERAIS</t>
  </si>
  <si>
    <t>OPERAÇÕES NO MERCADO INTERNO - CABOTAGEM</t>
  </si>
  <si>
    <t>SERVIÇOS PORTUÁRIOS</t>
  </si>
  <si>
    <t>311.01.01.0001</t>
  </si>
  <si>
    <t>SERVIÇOS - UTILIZ.DA INFRA ESTRUTURA DE PROT E ACES AQUAV</t>
  </si>
  <si>
    <t>311.01.01.0002</t>
  </si>
  <si>
    <t>SERVIÇOS - UTILIZ DAS INSTALAÇÕES DE ACOSTAGEM</t>
  </si>
  <si>
    <t>311.01.01.0003</t>
  </si>
  <si>
    <t>SERVIÇOS - UTILIZ DA INFRA ESTRUTURA TERRESTRE</t>
  </si>
  <si>
    <t>311.01.01.0004</t>
  </si>
  <si>
    <t>SERVIÇOS - DE ARMAZENAGEM</t>
  </si>
  <si>
    <t>311.01.01.0005</t>
  </si>
  <si>
    <t>SERVIÇOS DIVERSOS</t>
  </si>
  <si>
    <t>OUTRAS RECEITAS OPERACIONAIS</t>
  </si>
  <si>
    <t>RECEITAS DE ALUGUEIS</t>
  </si>
  <si>
    <t>311.03.01.0001</t>
  </si>
  <si>
    <t>ALUGUEIS E ARRENDAMENTO</t>
  </si>
  <si>
    <t>DEDUÇÕES DA RECEITA BRUTA</t>
  </si>
  <si>
    <t>OPERAÇÕES NO MERCADO INTERNO</t>
  </si>
  <si>
    <t>IMPOSTOS INCIDENTES</t>
  </si>
  <si>
    <t>321.01.01.0001</t>
  </si>
  <si>
    <t>PIS NÃO CUMULATIVO</t>
  </si>
  <si>
    <t>321.01.01.0002</t>
  </si>
  <si>
    <t>COFINS NÃO CUMULATIVO</t>
  </si>
  <si>
    <t>321.01.01.0003</t>
  </si>
  <si>
    <t>ISS - IMPOSTO SOBRE SERVIÇO</t>
  </si>
  <si>
    <t>CANCELAMENTOS DE SERVIÇOS</t>
  </si>
  <si>
    <t>321.01.02.0001</t>
  </si>
  <si>
    <t>UTILIZ.DA INFRA ESTRUTURA DE PROT E ACES AQUAV</t>
  </si>
  <si>
    <t>321.01.02.0002</t>
  </si>
  <si>
    <t>UTILIZ DAS INSTALAÇÕES DE ACOSTAGEM</t>
  </si>
  <si>
    <t>321.01.02.0003</t>
  </si>
  <si>
    <t>UTILIZ DA INFRA ESTRUTURA TERRESTRE</t>
  </si>
  <si>
    <t>321.01.02.0004</t>
  </si>
  <si>
    <t>321.01.02.0005</t>
  </si>
  <si>
    <t>321.01.02.0006</t>
  </si>
  <si>
    <t>CUSTO DOS SERVIÇOS PRESTADOS</t>
  </si>
  <si>
    <t>CUSTO DOS SERVIÇOS PORTUÁRIOS</t>
  </si>
  <si>
    <t>CUSTOS COM PESSOAL E ENCARGOS SOCIAIS</t>
  </si>
  <si>
    <t>411.01.01.0001</t>
  </si>
  <si>
    <t>SALÁRIOS E ORDENADOS</t>
  </si>
  <si>
    <t>411.01.01.0002</t>
  </si>
  <si>
    <t>ADICIONAL DE INSALUBRIDADE</t>
  </si>
  <si>
    <t>411.01.01.0003</t>
  </si>
  <si>
    <t>HORAS EXTRAS</t>
  </si>
  <si>
    <t>411.01.01.0004</t>
  </si>
  <si>
    <t>ADICIONAL NOTURNO</t>
  </si>
  <si>
    <t>411.01.01.0005</t>
  </si>
  <si>
    <t>FÉRIAS</t>
  </si>
  <si>
    <t>411.01.01.0006</t>
  </si>
  <si>
    <t>DÉCIMO TERCEIRO SALÁRIO</t>
  </si>
  <si>
    <t>411.01.01.0008</t>
  </si>
  <si>
    <t>ENCARGOS SOCIAIS - PREVIDÊNCIA SOCIAL</t>
  </si>
  <si>
    <t>411.01.01.0009</t>
  </si>
  <si>
    <t>ENCARGOS SOCIAIS - FGTS</t>
  </si>
  <si>
    <t>411.01.01.0011</t>
  </si>
  <si>
    <t>PORTUS INSTITUTO DE SEGURIDADE SOCIAL</t>
  </si>
  <si>
    <t>411.01.01.0012</t>
  </si>
  <si>
    <t>ASSISTÊNCIA MÉDICA, ODONTOLÓGICA E FARMACÊUTICA</t>
  </si>
  <si>
    <t>411.01.01.0017</t>
  </si>
  <si>
    <t>TRANSPORTES</t>
  </si>
  <si>
    <t>411.01.01.0020</t>
  </si>
  <si>
    <t>ADICIONAL POR TEMPO DE SERVIÇO</t>
  </si>
  <si>
    <t>411.01.01.0022</t>
  </si>
  <si>
    <t>ABONO PECUNIÁRIO</t>
  </si>
  <si>
    <t>411.01.01.0023</t>
  </si>
  <si>
    <t>DIARIAS</t>
  </si>
  <si>
    <t>411.01.01.0024</t>
  </si>
  <si>
    <t>AUXILIO CRECHE</t>
  </si>
  <si>
    <t>411.01.01.0025</t>
  </si>
  <si>
    <t>REPOUSO SEMANAL REMUNERADO</t>
  </si>
  <si>
    <t>411.01.01.0027</t>
  </si>
  <si>
    <t>SEGURO DE VIDA</t>
  </si>
  <si>
    <t>411.01.01.0029</t>
  </si>
  <si>
    <t>PAT</t>
  </si>
  <si>
    <t>411.01.01.0030</t>
  </si>
  <si>
    <t>SALARIO E ORDENADOS - DIRETORES</t>
  </si>
  <si>
    <t>SERVIÇOS PESSOAS JURIDICAS</t>
  </si>
  <si>
    <t>411.01.03.0001</t>
  </si>
  <si>
    <t>SERV.DE MANUTENÇÃO E REPAROS</t>
  </si>
  <si>
    <t>411.01.03.0002</t>
  </si>
  <si>
    <t>SERV. E MANUT. DE INSTALAÇÕES ELETRICAS</t>
  </si>
  <si>
    <t>411.01.03.0005</t>
  </si>
  <si>
    <t>SERV.DE MANUTENÇÃO CIVIL</t>
  </si>
  <si>
    <t>411.01.03.0009</t>
  </si>
  <si>
    <t>OGMO - ORG GESTOR MAO-DE-OBRA AVULSA</t>
  </si>
  <si>
    <t>411.01.03.0012</t>
  </si>
  <si>
    <t>SERVIÇOS DE ENGENHARIA</t>
  </si>
  <si>
    <t>411.01.03.0015</t>
  </si>
  <si>
    <t>SERVIÇOS ESPECIALIZADOS</t>
  </si>
  <si>
    <t>411.01.03.0018</t>
  </si>
  <si>
    <t>SERVIÇOS DE LIMPEZA E CONSERVAÇAO</t>
  </si>
  <si>
    <t>411.01.03.0019</t>
  </si>
  <si>
    <t>SERV. MAO DE OBRA INSPECAO DE CONTEINER-SCANNER</t>
  </si>
  <si>
    <t>411.01.03.0020</t>
  </si>
  <si>
    <t>SERVICOS MANUTENCAO ELETRICA E MECANICA</t>
  </si>
  <si>
    <t>411.01.03.0021</t>
  </si>
  <si>
    <t>SERVIÇOS TÉCNICOS ESPECIALIZADOS EM VIDEOMONITORAMENTO CFTV</t>
  </si>
  <si>
    <t>MATERIAIS GASTOS NAS OPERAÇÕES</t>
  </si>
  <si>
    <t>411.01.04.0001</t>
  </si>
  <si>
    <t>COMBUSTIVEIS E LUBRIFICANTES</t>
  </si>
  <si>
    <t>411.01.04.0003</t>
  </si>
  <si>
    <t>411.01.04.0005</t>
  </si>
  <si>
    <t>MATERIAIS DE CONSUMO</t>
  </si>
  <si>
    <t>411.01.04.0006</t>
  </si>
  <si>
    <t>411.01.04.0008</t>
  </si>
  <si>
    <t>PNEUS E CAMARAS DE AR</t>
  </si>
  <si>
    <t>411.01.04.0009</t>
  </si>
  <si>
    <t>PEÇAS E ACES. MAQ E EQUIP.</t>
  </si>
  <si>
    <t>411.01.04.0010</t>
  </si>
  <si>
    <t>MATERIAS P/CONSERV.DE INSTALAÇÕES</t>
  </si>
  <si>
    <t>411.01.04.0011</t>
  </si>
  <si>
    <t>MATERIAIS P/ CONS MOB E UTENS EM GERAL</t>
  </si>
  <si>
    <t>CUSTOS  GERAIS</t>
  </si>
  <si>
    <t>411.01.05.0001</t>
  </si>
  <si>
    <t>AGUA E ESGOTO</t>
  </si>
  <si>
    <t>411.01.05.0004</t>
  </si>
  <si>
    <t>ENERGIA</t>
  </si>
  <si>
    <t>411.01.05.0010</t>
  </si>
  <si>
    <t>ALUGUEL DE MAQUINAS E EQUIPAMENTOS</t>
  </si>
  <si>
    <t>411.01.05.0012</t>
  </si>
  <si>
    <t>CONTRIBUIÇOES E ANUIDADES</t>
  </si>
  <si>
    <t>411.01.05.9996</t>
  </si>
  <si>
    <t>ESTORNO DA DEPRECIACAO RTT</t>
  </si>
  <si>
    <t>411.01.05.9997</t>
  </si>
  <si>
    <t>DEPRECIAÇAO</t>
  </si>
  <si>
    <t>DESPESAS OPERACIONAIS</t>
  </si>
  <si>
    <t>DESPESAS ADMINISTRATIVAS</t>
  </si>
  <si>
    <t>DESPESAS COM PESSOAL E ENCARGOS SOCIAIS</t>
  </si>
  <si>
    <t>511.01.01.0001</t>
  </si>
  <si>
    <t>511.01.01.0003</t>
  </si>
  <si>
    <t>511.01.01.0006</t>
  </si>
  <si>
    <t>511.01.01.0008</t>
  </si>
  <si>
    <t>AVISO PREVIO E INDENIZAÇÕES</t>
  </si>
  <si>
    <t>511.01.01.0009</t>
  </si>
  <si>
    <t>511.01.01.0010</t>
  </si>
  <si>
    <t>511.01.01.0011</t>
  </si>
  <si>
    <t>13º SALARIO</t>
  </si>
  <si>
    <t>511.01.01.0012</t>
  </si>
  <si>
    <t>FERIAS</t>
  </si>
  <si>
    <t>511.01.01.0013</t>
  </si>
  <si>
    <t>511.01.01.0015</t>
  </si>
  <si>
    <t>ASSISTENCIA MEDICA/ODONTOLOGICA</t>
  </si>
  <si>
    <t>511.01.01.0016</t>
  </si>
  <si>
    <t>511.01.01.0019</t>
  </si>
  <si>
    <t>ESTAGIARIOS</t>
  </si>
  <si>
    <t>511.01.01.0022</t>
  </si>
  <si>
    <t>511.01.01.0024</t>
  </si>
  <si>
    <t>SEGURANÇA E MEDICINA DO TRABALHO</t>
  </si>
  <si>
    <t>511.01.01.0027</t>
  </si>
  <si>
    <t>SEGUROS DE VIDA</t>
  </si>
  <si>
    <t>511.01.01.0028</t>
  </si>
  <si>
    <t>511.01.01.0029</t>
  </si>
  <si>
    <t>511.01.01.0030</t>
  </si>
  <si>
    <t>511.01.01.0031</t>
  </si>
  <si>
    <t>PLANO FUNERAL DE FUNCIONARIOS</t>
  </si>
  <si>
    <t>511.01.01.0032</t>
  </si>
  <si>
    <t>511.01.01.0036</t>
  </si>
  <si>
    <t>511.01.01.0038</t>
  </si>
  <si>
    <t>MULTA FGTS RESCISÓRIO</t>
  </si>
  <si>
    <t>511.01.01.0039</t>
  </si>
  <si>
    <t>DESPESA ATUARIAL - CUSTO DO BENEFÍCIO - PARCELA ATIVOS</t>
  </si>
  <si>
    <t>SERVIÇOS PRESTADOS - PESSOAS FISICAS</t>
  </si>
  <si>
    <t>511.01.02.0001</t>
  </si>
  <si>
    <t>HONORARIOS DO CONSELHO FISCAL</t>
  </si>
  <si>
    <t>511.01.02.0002</t>
  </si>
  <si>
    <t>HONORARIOS DO CONSELHO DE ADMINISTRAÇÃO</t>
  </si>
  <si>
    <t>511.01.02.0011</t>
  </si>
  <si>
    <t>HONORÁRIOS DO COMITE DE AUDITORIA</t>
  </si>
  <si>
    <t>511.01.02.9999</t>
  </si>
  <si>
    <t>INSS SERVIÇOS PESSOAS FISICAS</t>
  </si>
  <si>
    <t>SERVIÇOS PESSOA JURIDICA</t>
  </si>
  <si>
    <t>511.01.03.0002</t>
  </si>
  <si>
    <t>PUBLICIDADE LEGAL</t>
  </si>
  <si>
    <t>511.01.03.0007</t>
  </si>
  <si>
    <t>511.01.03.0012</t>
  </si>
  <si>
    <t>SERV.EM VEICULOS</t>
  </si>
  <si>
    <t>511.01.03.0014</t>
  </si>
  <si>
    <t>AUDITORIA E ASSESSORIA CONTÁBIL</t>
  </si>
  <si>
    <t>511.01.03.0016</t>
  </si>
  <si>
    <t>DESPESAS COM LIMPEZA E CONSERVAÇÃO</t>
  </si>
  <si>
    <t>511.01.03.0017</t>
  </si>
  <si>
    <t>SERV. DE SEGURANÇA E VIGILANCIA PATRIMONIAL</t>
  </si>
  <si>
    <t>511.01.03.0019</t>
  </si>
  <si>
    <t>PUBLICAÇÕES TÉCNICAS, JORNAIS E REVISTAS</t>
  </si>
  <si>
    <t>511.01.03.0020</t>
  </si>
  <si>
    <t>SERVIÇOS DE INFORMATICA</t>
  </si>
  <si>
    <t>511.01.03.0021</t>
  </si>
  <si>
    <t>MONITORAMENTO DE AGUA</t>
  </si>
  <si>
    <t>511.01.03.0022</t>
  </si>
  <si>
    <t>CONTROLE AMBIENTAL</t>
  </si>
  <si>
    <t>511.01.03.0023</t>
  </si>
  <si>
    <t>EVENTOS</t>
  </si>
  <si>
    <t>511.01.03.0026</t>
  </si>
  <si>
    <t>SERVICOS DE CHAVEIROS E CARIMBOS</t>
  </si>
  <si>
    <t>511.01.03.0029</t>
  </si>
  <si>
    <t>SERVIÇOS RECEPÇÃO PORTARIA E MOTORISTA</t>
  </si>
  <si>
    <t>511.01.03.0031</t>
  </si>
  <si>
    <t>SERVIÇOS DE MONITORAMENTO REMOTO</t>
  </si>
  <si>
    <t>511.01.03.0032</t>
  </si>
  <si>
    <t>SERVIÇOS MANUTENCAO UNIDADES EXTINTORAS INCENDIO</t>
  </si>
  <si>
    <t>DESPESAS COM MATERIAIS</t>
  </si>
  <si>
    <t>511.01.04.0001</t>
  </si>
  <si>
    <t>511.01.04.0002</t>
  </si>
  <si>
    <t>PEÇAS E ACES.P/VEICULOS</t>
  </si>
  <si>
    <t>511.01.04.0003</t>
  </si>
  <si>
    <t>MATERIAIS P/CONSERV.DE INSTALAÇÕES</t>
  </si>
  <si>
    <t>511.01.04.0004</t>
  </si>
  <si>
    <t>UTENSILIOS DE COPA E COZINHA</t>
  </si>
  <si>
    <t>511.01.04.0005</t>
  </si>
  <si>
    <t>511.01.04.0006</t>
  </si>
  <si>
    <t>SUPRIMENTOS DE INFORMATICA</t>
  </si>
  <si>
    <t>511.01.04.0007</t>
  </si>
  <si>
    <t>511.01.04.0008</t>
  </si>
  <si>
    <t>511.01.04.0009</t>
  </si>
  <si>
    <t>511.01.04.0010</t>
  </si>
  <si>
    <t>MATERIAIS P/CONS MOB E UTENS EM GERAL</t>
  </si>
  <si>
    <t>511.01.04.0016</t>
  </si>
  <si>
    <t>511.01.04.0018</t>
  </si>
  <si>
    <t>DESPESAS GERAIS</t>
  </si>
  <si>
    <t>511.01.05.0001</t>
  </si>
  <si>
    <t>511.01.05.0002</t>
  </si>
  <si>
    <t>TELEFONIA MOVEL</t>
  </si>
  <si>
    <t>511.01.05.0003</t>
  </si>
  <si>
    <t>TELEFONIA FIXA</t>
  </si>
  <si>
    <t>511.01.05.0006</t>
  </si>
  <si>
    <t>511.01.05.0008</t>
  </si>
  <si>
    <t>DESPESAS COM POSTAGENS</t>
  </si>
  <si>
    <t>511.01.05.0009</t>
  </si>
  <si>
    <t>DESPESAS CARTORAIS</t>
  </si>
  <si>
    <t>511.01.05.0010</t>
  </si>
  <si>
    <t>IMPOSTOS E TAXAS</t>
  </si>
  <si>
    <t>511.01.05.0014</t>
  </si>
  <si>
    <t>511.01.05.0015</t>
  </si>
  <si>
    <t>PASSAGENS</t>
  </si>
  <si>
    <t>511.01.05.0016</t>
  </si>
  <si>
    <t>CONDUÇÃO- TÁXI</t>
  </si>
  <si>
    <t>511.01.05.0017</t>
  </si>
  <si>
    <t>DEPRECIAÇÃO</t>
  </si>
  <si>
    <t>511.01.05.0018</t>
  </si>
  <si>
    <t>AMORTIZAÇÃO</t>
  </si>
  <si>
    <t>511.01.05.0019</t>
  </si>
  <si>
    <t>CONTRIBUIÇÕES E ANUIDADES</t>
  </si>
  <si>
    <t>511.01.05.0020</t>
  </si>
  <si>
    <t>MANUTENÇÃO DE SISTEMAS</t>
  </si>
  <si>
    <t>511.01.05.0021</t>
  </si>
  <si>
    <t>ESTACIONAMENTO</t>
  </si>
  <si>
    <t>511.01.05.0022</t>
  </si>
  <si>
    <t>SERVIÇOS GRAFICOS</t>
  </si>
  <si>
    <t>511.01.05.0023</t>
  </si>
  <si>
    <t>511.01.05.0026</t>
  </si>
  <si>
    <t>CUSTAS  JUDICIAIS</t>
  </si>
  <si>
    <t>511.01.05.0031</t>
  </si>
  <si>
    <t>CERTIFICADOS DIGITAL</t>
  </si>
  <si>
    <t>RESULTADOS FINANCEIROS LÍQUIDOS</t>
  </si>
  <si>
    <t>DESPESAS FINANCEIRAS E RECEITAS FINANCEIRAS</t>
  </si>
  <si>
    <t>DESPESAS FINANCEIRAS</t>
  </si>
  <si>
    <t>591.01.01.0003</t>
  </si>
  <si>
    <t>JUROS SOBRE ATUALIZAÇÃO DE DÉBITOS TRIBUTÁRIOS</t>
  </si>
  <si>
    <t>591.01.01.0004</t>
  </si>
  <si>
    <t>JUROS SOBRE ATUALIZAÇÃO DE DEMAIS OBRIGAÇÕES CONTRATUAIS</t>
  </si>
  <si>
    <t>591.01.01.0005</t>
  </si>
  <si>
    <t>JUROS/MULTA ATRASO PAGAMENTOS</t>
  </si>
  <si>
    <t>591.01.01.0006</t>
  </si>
  <si>
    <t>DESPESAS BANCÁRIAS DIVERSAS</t>
  </si>
  <si>
    <t>591.01.01.0007</t>
  </si>
  <si>
    <t>DESPESAS DE VARIAÇÕES MONETÁRIAS</t>
  </si>
  <si>
    <t>RECEITAS FINANCEIRAS</t>
  </si>
  <si>
    <t>591.02.01.0002</t>
  </si>
  <si>
    <t>JUROS DE USUARIOS</t>
  </si>
  <si>
    <t>591.02.01.0004</t>
  </si>
  <si>
    <t>RENDIMENTOS EM APLICAÇÕES FINANCEIRAS</t>
  </si>
  <si>
    <t>591.02.01.0006</t>
  </si>
  <si>
    <t>JUROS ATUALIZAÇÃO DEPÓSITOS JUDICIAIS</t>
  </si>
  <si>
    <t>591.02.01.0007</t>
  </si>
  <si>
    <t>VARIACOES MONETARIAS DE TRIBUTOS A RECUPERAR</t>
  </si>
  <si>
    <t>OUTRAS RECEITAS E DESPESAS OPERACIONAIS</t>
  </si>
  <si>
    <t>OUTROS RESULTADOS OPERACIONAIS</t>
  </si>
  <si>
    <t>OUTRAS OPERAÇÕES EVENTUAIS</t>
  </si>
  <si>
    <t>RECEITAS EVENTUAIS</t>
  </si>
  <si>
    <t>RECEITAS EVENTUAIS NO ANO-CALENDÁRIO</t>
  </si>
  <si>
    <t>621.01.01.0002</t>
  </si>
  <si>
    <t>RECUPERAÇÃO DE VALORES BAIXADOS COMO PERDAS EM EXERCÍCIOS AN</t>
  </si>
  <si>
    <t>621.01.01.0004</t>
  </si>
  <si>
    <t>621.01.01.0008</t>
  </si>
  <si>
    <t>CREDITOS FISCAIS  - CREDITOS EXTEMPORANEOS</t>
  </si>
  <si>
    <t>OUTRAS DESPESAS OPERACIONAIS</t>
  </si>
  <si>
    <t>624.01.01.0009</t>
  </si>
  <si>
    <t>DESPESA ATUARIAL- CUSTO DO BENEFÍCIO - PARCELA ASSISTIDOS</t>
  </si>
  <si>
    <t>DESPESAS ACOES JUDICIAIS</t>
  </si>
  <si>
    <t>DESPESAS AÇÕES JUDICIAIS</t>
  </si>
  <si>
    <t>625.01.01.0001</t>
  </si>
  <si>
    <t>RECLAMACOES TRABALHISTAS</t>
  </si>
  <si>
    <t>625.01.01.0003</t>
  </si>
  <si>
    <t>ACOES CIVEIS</t>
  </si>
  <si>
    <t>CONTAS TRANSITÓRIAS E DE ENCERRAMENTO</t>
  </si>
  <si>
    <t>LUCOR(PREJUIZO)  LÍQUIDO DO EXERCICIO</t>
  </si>
  <si>
    <t>CONTAS DE ENCERRAMENTO DE RECEITAS  E DESPESAS</t>
  </si>
  <si>
    <t>911.01.01.0001</t>
  </si>
  <si>
    <t>(+/-) Ajustes de ORA - Portus</t>
  </si>
  <si>
    <t>Balancete Contábil</t>
  </si>
  <si>
    <t>111.06</t>
  </si>
  <si>
    <t>112.05.02</t>
  </si>
  <si>
    <t>112.05.03</t>
  </si>
  <si>
    <t>113</t>
  </si>
  <si>
    <t>114</t>
  </si>
  <si>
    <t>117</t>
  </si>
  <si>
    <t>122</t>
  </si>
  <si>
    <t>123</t>
  </si>
  <si>
    <t>124</t>
  </si>
  <si>
    <t>13</t>
  </si>
  <si>
    <t>211</t>
  </si>
  <si>
    <t>231</t>
  </si>
  <si>
    <t>239.01.01</t>
  </si>
  <si>
    <t>239.01.02</t>
  </si>
  <si>
    <t>24</t>
  </si>
  <si>
    <t>(-) Provisão Déficit Plano de Pensão - Portus</t>
  </si>
  <si>
    <t>Provisão PORTUS</t>
  </si>
  <si>
    <t>111.02.04.0002</t>
  </si>
  <si>
    <t>FRANCISCO RONALDO DA SILVA MONTEIRO</t>
  </si>
  <si>
    <t>111.02.04.0011</t>
  </si>
  <si>
    <t>MARCO ANTONIO QUEIROZ PAES DE ANDRADE</t>
  </si>
  <si>
    <t>quinta-feira, 17 de setembro de 2020</t>
  </si>
  <si>
    <t>113.01.02.0016</t>
  </si>
  <si>
    <t>SALDO NEGATIVO DE IRPJ EXERC 2019-2018</t>
  </si>
  <si>
    <t>113.01.03.0017</t>
  </si>
  <si>
    <t>SALDO NEGATIVO DE CSLL EXERC 2019-2018</t>
  </si>
  <si>
    <t>114.01.01.0003</t>
  </si>
  <si>
    <t>117.01.02.0002</t>
  </si>
  <si>
    <t>JORNAIS</t>
  </si>
  <si>
    <t>121.01.01.0084</t>
  </si>
  <si>
    <t>LEONARDO DA FONSECA VERÇOSA PROC. 1565/2010</t>
  </si>
  <si>
    <t>121.01.01.0085</t>
  </si>
  <si>
    <t>SEBASTIAO LUIZ DA ROCHA</t>
  </si>
  <si>
    <t>121.01.01.0087</t>
  </si>
  <si>
    <t>ANTONIO LUIZ DO NASCIMENTO PROC 1740-09.2010.5.07.0006 6ª VT</t>
  </si>
  <si>
    <t>121.01.01.0088</t>
  </si>
  <si>
    <t>CARLOS HAILTON DE SA CARDOSO PROC 257-44.2010.5.07.0005</t>
  </si>
  <si>
    <t>121.01.01.0092</t>
  </si>
  <si>
    <t>EVARISTO LUIS LOUREIRO MAIA FILHO - PROC 0001783.06.2016.5.0</t>
  </si>
  <si>
    <t>121.01.01.0093</t>
  </si>
  <si>
    <t>ANTONIO DOS ANJOS PROC 0001566.81.2016.07.0008</t>
  </si>
  <si>
    <t>121.01.02.0058</t>
  </si>
  <si>
    <t>OSVALDO FONTENELE E OUTROS PROC 2072/04 7ª VTF</t>
  </si>
  <si>
    <t>121.01.02.0087</t>
  </si>
  <si>
    <t>ANTONIO LUIZ DO NASCIMENTO PROC 1740-09.2010.5.07.006</t>
  </si>
  <si>
    <t>121.01.02.0088</t>
  </si>
  <si>
    <t>CARLOS HAILTON DE SA CARDOSO- PROC 0257/2010</t>
  </si>
  <si>
    <t>121.01.02.0091</t>
  </si>
  <si>
    <t>LEONARDO DA FONSECA PROC Nº 1565-12.2010</t>
  </si>
  <si>
    <t>121.01.02.0098</t>
  </si>
  <si>
    <t>FCO HELIO LIMA EVANGELISTA PROC 259-16.2016.5.07.0001</t>
  </si>
  <si>
    <t>DEPOSITOS BLOQUEADOS - ACOES CIVEIS</t>
  </si>
  <si>
    <t>121.01.03.0004</t>
  </si>
  <si>
    <t>TEXTIL BAQUIT SA PROC 004788-50.2006.8.06.0001</t>
  </si>
  <si>
    <t>121.01.06.0001</t>
  </si>
  <si>
    <t>PROC Nº 0811392-42.2018.4.05.8100 TRIBUNAL MARITIMO</t>
  </si>
  <si>
    <t>121.02.01.0028</t>
  </si>
  <si>
    <t>COOPACE - COOPERATIVA DOS ARMADORES DE PESCA DO CEARÁ</t>
  </si>
  <si>
    <t>123.01.03.0006</t>
  </si>
  <si>
    <t>AMPLIACAO DO PARQUE DE TOMADAS P/CONTEINERE E SUBST. SE-03</t>
  </si>
  <si>
    <t>123.01.03.0009</t>
  </si>
  <si>
    <t>ILUMINAÇÃO DO PORTO DE FORTALEZA</t>
  </si>
  <si>
    <t>123.01.03.0016</t>
  </si>
  <si>
    <t>CONSTRUÇÃO DO TERMINAL DE CONTEINERES</t>
  </si>
  <si>
    <t>123.01.03.0018</t>
  </si>
  <si>
    <t>SISTEMA DE MONITORAMENTO E GRAVAÇÃO DE IMAGENS -CFTV</t>
  </si>
  <si>
    <t>123.01.03.0025</t>
  </si>
  <si>
    <t>211.01.01.0009</t>
  </si>
  <si>
    <t>CJS SERV DE MANUT INDL E REP LTDA</t>
  </si>
  <si>
    <t>211.01.01.0029</t>
  </si>
  <si>
    <t>LIDER CONTROLE AMBIENTALLTDA- M.L.B AIRES</t>
  </si>
  <si>
    <t>211.01.01.0030</t>
  </si>
  <si>
    <t>IVIA SERVIÇOS DE INFORMATICA LTDA</t>
  </si>
  <si>
    <t>211.01.01.0036</t>
  </si>
  <si>
    <t>CONDE &amp; LEITE ADVOGADOS S.C</t>
  </si>
  <si>
    <t>211.01.01.0044</t>
  </si>
  <si>
    <t>JJD MELO  - ME</t>
  </si>
  <si>
    <t>211.01.01.0074</t>
  </si>
  <si>
    <t>FUNDACAO CEARENSE PESQUISA E CULTURA- FCPC</t>
  </si>
  <si>
    <t>211.01.01.0140</t>
  </si>
  <si>
    <t>MOBSERVIÇOS DE TELECOMUNICAÇÕES LTDA</t>
  </si>
  <si>
    <t>211.01.01.0162</t>
  </si>
  <si>
    <t>UNIMED NORTE NORDESTE</t>
  </si>
  <si>
    <t>211.01.01.0163</t>
  </si>
  <si>
    <t>R R DE ALMEIDA FILHO ME</t>
  </si>
  <si>
    <t>211.01.01.0189</t>
  </si>
  <si>
    <t>QUALITY -NORDESTE EMERGENCIAS E SOLUCOES MEDICAS LTDA -ME</t>
  </si>
  <si>
    <t>211.01.01.0190</t>
  </si>
  <si>
    <t>AC FARIAS EVANGELISTA VARIEDADES - ME</t>
  </si>
  <si>
    <t>211.01.01.0196</t>
  </si>
  <si>
    <t>REDE INDEPENDENTE DE JORNAIS DO NORDESTE LTDA.</t>
  </si>
  <si>
    <t>211.01.01.0217</t>
  </si>
  <si>
    <t>UBM BRASIL FEIRAS E EVENTOS LTDA</t>
  </si>
  <si>
    <t>211.01.01.0296</t>
  </si>
  <si>
    <t>DIAS BRASIL E SILVEIRA ADVOCACIA</t>
  </si>
  <si>
    <t>211.01.01.0305</t>
  </si>
  <si>
    <t>SOMOS CAPITAL HUMANO SERV LOCACAO MAO DE OBRA</t>
  </si>
  <si>
    <t>211.01.01.0316</t>
  </si>
  <si>
    <t>F HILTON NASCIMENTO DE SOUZA - ME</t>
  </si>
  <si>
    <t>211.01.01.0318</t>
  </si>
  <si>
    <t>JOAO PEDRO DA SILVA BEZERRA EIRELI</t>
  </si>
  <si>
    <t>211.01.01.0321</t>
  </si>
  <si>
    <t>CEARACOM SERVICOS E COMERCIO DE TECNOLOGIAS LTDA -ME</t>
  </si>
  <si>
    <t>211.01.02.0065</t>
  </si>
  <si>
    <t>INSTITUTO DE ESTUDOS PESQUISAS PROJETOS UECE -</t>
  </si>
  <si>
    <t>211.01.02.0078</t>
  </si>
  <si>
    <t>RECAMONDE ARTEFATOS DE COURO LTDA.</t>
  </si>
  <si>
    <t>211.01.02.0256</t>
  </si>
  <si>
    <t>SETE INFORMATICA-RAIMUNDO MACEDO PINTO</t>
  </si>
  <si>
    <t>211.01.02.0487</t>
  </si>
  <si>
    <t>DM4 DECORACAO E MONTAGEM EIRELI</t>
  </si>
  <si>
    <t>211.01.02.0504</t>
  </si>
  <si>
    <t>PROMOEXPO PROMOCAO E MONTAGEM DE EVENTOS LTDA</t>
  </si>
  <si>
    <t>211.01.02.0534</t>
  </si>
  <si>
    <t>RDLED COMERCIAL EIRELI-ME</t>
  </si>
  <si>
    <t>211.01.02.0535</t>
  </si>
  <si>
    <t>INCO CONSTRUCOES LTDA</t>
  </si>
  <si>
    <t>211.01.02.0536</t>
  </si>
  <si>
    <t>CABLE CONECTION TECNOLOGIA E COMERCIO DE INFORMATICA LTDA</t>
  </si>
  <si>
    <t>211.01.02.0537</t>
  </si>
  <si>
    <t>RAIMUNDO GUILHERME FERREIRA LOPES ME</t>
  </si>
  <si>
    <t>211.01.02.0538</t>
  </si>
  <si>
    <t>MPM COMERCIO E DISTRIBUICAO EIRELI -EPP</t>
  </si>
  <si>
    <t>217.01.02.0185</t>
  </si>
  <si>
    <t>KLM CIA REAL HOLANDESA DE AVIACAO</t>
  </si>
  <si>
    <t>234.01.01.0001</t>
  </si>
  <si>
    <t>311.03.01.0002</t>
  </si>
  <si>
    <t>ALUGUEIS E ARRENDAMENTO - TMP</t>
  </si>
  <si>
    <t>SERVIÇOS PRESTADOS - PESSOAS FÍSICAS</t>
  </si>
  <si>
    <t>411.01.02.0006</t>
  </si>
  <si>
    <t>411.01.03.0008</t>
  </si>
  <si>
    <t>SERV. MOBILIARIO E UTENSILIOS EM GERAL</t>
  </si>
  <si>
    <t>411.01.03.0010</t>
  </si>
  <si>
    <t>411.01.03.0016</t>
  </si>
  <si>
    <t>SERV. DE MANUTENCAO NAUTICA</t>
  </si>
  <si>
    <t>411.01.04.0002</t>
  </si>
  <si>
    <t>411.01.05.9995</t>
  </si>
  <si>
    <t>DESPESA DA REDUÇÃO AO VALOR RECUPERÁVEL</t>
  </si>
  <si>
    <t>511.01.01.0037</t>
  </si>
  <si>
    <t>GRATIFICAÇÃO NATALINA - DIRETORES</t>
  </si>
  <si>
    <t>511.01.02.0008</t>
  </si>
  <si>
    <t>511.01.03.0008</t>
  </si>
  <si>
    <t>SERV.DE INSTALAÇÕES ELETRICAS</t>
  </si>
  <si>
    <t>511.01.03.0009</t>
  </si>
  <si>
    <t>SERV.DE INSTALAÇÕES HIDRAULICAS</t>
  </si>
  <si>
    <t>511.01.03.0013</t>
  </si>
  <si>
    <t>HONORARIOS ADVOCATICIOS</t>
  </si>
  <si>
    <t>511.01.05.0004</t>
  </si>
  <si>
    <t>511.01.05.0005</t>
  </si>
  <si>
    <t>INTERNET</t>
  </si>
  <si>
    <t>511.01.05.0007</t>
  </si>
  <si>
    <t>FRETES DIVERSOS</t>
  </si>
  <si>
    <t>511.01.05.0012</t>
  </si>
  <si>
    <t>CÓPIAS E AUTENTICAÇÕES</t>
  </si>
  <si>
    <t>591.02.01.0001</t>
  </si>
  <si>
    <t>JUROS SOBRE ATUALIZAÇÃO DE DEMAIS DIREITOS DE CRÉDITO</t>
  </si>
  <si>
    <t>591.02.01.0003</t>
  </si>
  <si>
    <t>DESCONTOS OBTIDOS</t>
  </si>
  <si>
    <t>591.02.01.0010</t>
  </si>
  <si>
    <t>OUTRAS RECEITAS FINANCEIRAS</t>
  </si>
  <si>
    <t>621.01.01.0003</t>
  </si>
  <si>
    <t>RECUPERAÇÃO DE PERDAS EM CRÉDITOS DE LIQUIDEZ DUVIDOSA</t>
  </si>
  <si>
    <t>621.01.01.0005</t>
  </si>
  <si>
    <t>RECUPERACAO DE DESPESAS DE EXERCICIOS ANTERIORES</t>
  </si>
  <si>
    <t>624.01.01.0003</t>
  </si>
  <si>
    <t>PROVISAO PARA DEVEDORES DUVIDOSOS</t>
  </si>
  <si>
    <t>GANHOS E PERDAS DE CAPITAL</t>
  </si>
  <si>
    <t>CUSTO DE AQUISIÇÃO OU DE FORMAÇÃO DOS BENS E DIREITOS  -  NÃ</t>
  </si>
  <si>
    <t>CUSTO DE AQUISIÇÃO EM INVESTIMENTOS</t>
  </si>
  <si>
    <t>712.01.01.0002</t>
  </si>
  <si>
    <t>CUSTO DE AQUISIÇÃO OU DE FORMAÇÃO DE BENS ALIENADOS DO ATIVO</t>
  </si>
  <si>
    <t>Fim</t>
  </si>
  <si>
    <t>Baixas no Imobilizado</t>
  </si>
  <si>
    <t>121.01.01.0111</t>
  </si>
  <si>
    <t>121.01.02.0097</t>
  </si>
  <si>
    <t>211.01.01.0043</t>
  </si>
  <si>
    <t>RADIO TAXI CAPITAL FORTALEZA LTDA</t>
  </si>
  <si>
    <t>211.01.01.0166</t>
  </si>
  <si>
    <t>BITCARD INDUSTRI E COMERCIO LTDA</t>
  </si>
  <si>
    <t>211.01.01.0328</t>
  </si>
  <si>
    <t>J.R.SERVICOS DE TRANSPORTES EIRELI EPP</t>
  </si>
  <si>
    <t>211.01.01.0333</t>
  </si>
  <si>
    <t>LCPAR IMPORTAÇÃO E EXPORTAÇÃO EIRELI</t>
  </si>
  <si>
    <t>211.01.01.0334</t>
  </si>
  <si>
    <t>COMERCIAL LUEJO - EIRELI ME</t>
  </si>
  <si>
    <t>211.01.02.0060</t>
  </si>
  <si>
    <t>ZENITE INFORMAÇÃO E CONSULTORIA S/A</t>
  </si>
  <si>
    <t>211.01.02.0383</t>
  </si>
  <si>
    <t>AGENCIA NACIONAL DE VIGILANCIA SANITARIA-ANVISA</t>
  </si>
  <si>
    <t>211.01.02.0532</t>
  </si>
  <si>
    <t>INFOSHOP COMERCIO ATACADISTA DE ARTIGOS PARA INFORMATICA EIR</t>
  </si>
  <si>
    <t>211.01.02.0533</t>
  </si>
  <si>
    <t>JOAO ACRISIO ROCHA -CONSULTORIA, PERICIA &amp; AUDITORIA EMPRESA</t>
  </si>
  <si>
    <t>217.01.02.0179</t>
  </si>
  <si>
    <t>ZIG CARGO</t>
  </si>
  <si>
    <t>217.01.02.0182</t>
  </si>
  <si>
    <t>RF COMUNICAÇÃO E PROMOÇÃO LTDA</t>
  </si>
  <si>
    <t>239.01.02.0002</t>
  </si>
  <si>
    <t>(-) PREJUIZOS ACUMULADOS EXERCICIO 2015</t>
  </si>
  <si>
    <t>239.01.02.0003</t>
  </si>
  <si>
    <t>(-) PREJUÍZOS ACUMULADOS EXERCÍCIO 2016</t>
  </si>
  <si>
    <t>239.01.02.0004</t>
  </si>
  <si>
    <t>(-) PREJUÍZOS ACUMULADOS EXERCÍCIO 2017</t>
  </si>
  <si>
    <t>321.01.02.0008</t>
  </si>
  <si>
    <t>411.01.02.0001</t>
  </si>
  <si>
    <t>511.01.02.0005</t>
  </si>
  <si>
    <t>511.01.02.0006</t>
  </si>
  <si>
    <t>511.01.03.0001</t>
  </si>
  <si>
    <t>CONSULTORIA</t>
  </si>
  <si>
    <t>511.01.04.0011</t>
  </si>
  <si>
    <t>PECAS E FERRAMENTAS PARA OFICINA</t>
  </si>
  <si>
    <t>591.01.01.0009</t>
  </si>
  <si>
    <t>DESPESAS COM IOF</t>
  </si>
  <si>
    <t xml:space="preserve">BALANÇO PATRIMONIAL </t>
  </si>
  <si>
    <t>(Em milhares de  reais)</t>
  </si>
  <si>
    <t>A T I V O</t>
  </si>
  <si>
    <t xml:space="preserve">  CAIXA E EQUIVALENTES DE CAIXA </t>
  </si>
  <si>
    <t>Nota 4</t>
  </si>
  <si>
    <t xml:space="preserve">    Caixa e Bancos</t>
  </si>
  <si>
    <t>111.01+111.02+111.03+111.04+111.05</t>
  </si>
  <si>
    <t xml:space="preserve">    Aplicações de Liquidez Imediata</t>
  </si>
  <si>
    <t xml:space="preserve">    Saldo de crédito não identificado</t>
  </si>
  <si>
    <t>111.08</t>
  </si>
  <si>
    <t xml:space="preserve">  CONTAS A RECEBER</t>
  </si>
  <si>
    <t xml:space="preserve">     Contas a receber</t>
  </si>
  <si>
    <t xml:space="preserve">     Clientes </t>
  </si>
  <si>
    <t>Nota 5</t>
  </si>
  <si>
    <t xml:space="preserve">     Servidores a Disposição</t>
  </si>
  <si>
    <t xml:space="preserve">     Adiantamentos a Empregados</t>
  </si>
  <si>
    <t xml:space="preserve">     Adiantamentos a Empresas</t>
  </si>
  <si>
    <t>Nota 6</t>
  </si>
  <si>
    <t xml:space="preserve">     Acordos/Ressarcimentos</t>
  </si>
  <si>
    <t>Nota 7</t>
  </si>
  <si>
    <t xml:space="preserve">   TRIBUTOS A RECUPERAR</t>
  </si>
  <si>
    <t>Nota 8</t>
  </si>
  <si>
    <t xml:space="preserve">    ESTOQUES</t>
  </si>
  <si>
    <t xml:space="preserve">    DESPESAS DO EXERCÍCIO SEGUINTE</t>
  </si>
  <si>
    <t xml:space="preserve">  REALIZÁVEL A LONGO PRAZO </t>
  </si>
  <si>
    <t xml:space="preserve">     Depósitos e Cauções Judiciais </t>
  </si>
  <si>
    <r>
      <t xml:space="preserve">  INVESTIMENTOS</t>
    </r>
    <r>
      <rPr>
        <b/>
        <sz val="11"/>
        <color indexed="10"/>
        <rFont val="Arial"/>
        <family val="2"/>
      </rPr>
      <t xml:space="preserve"> </t>
    </r>
  </si>
  <si>
    <t>Nota 10</t>
  </si>
  <si>
    <t xml:space="preserve">  IMOBILIZADO </t>
  </si>
  <si>
    <t>Nota 11</t>
  </si>
  <si>
    <t xml:space="preserve">  INTANGÍVEL </t>
  </si>
  <si>
    <t>Nota 12</t>
  </si>
  <si>
    <t>Convênio CVT</t>
  </si>
  <si>
    <t>TOTAL</t>
  </si>
  <si>
    <t>BALANÇO PATRIMONIAL</t>
  </si>
  <si>
    <t>(Em  milhares de  reais)</t>
  </si>
  <si>
    <t>P A S S I V O</t>
  </si>
  <si>
    <t xml:space="preserve">    Fornecedores</t>
  </si>
  <si>
    <t>Nota 13</t>
  </si>
  <si>
    <t xml:space="preserve">    Obrigações Trabalhistas</t>
  </si>
  <si>
    <t>Nota 14</t>
  </si>
  <si>
    <t xml:space="preserve">    Obrigações Fiscais e Previdenciárias </t>
  </si>
  <si>
    <t>Nota 15</t>
  </si>
  <si>
    <t>Nota 16</t>
  </si>
  <si>
    <t xml:space="preserve">    REFIS INSS </t>
  </si>
  <si>
    <t>Nota 17</t>
  </si>
  <si>
    <t xml:space="preserve">    Parcelamento INSS</t>
  </si>
  <si>
    <t>Nota 18</t>
  </si>
  <si>
    <t xml:space="preserve">    Parcelamento PERT</t>
  </si>
  <si>
    <t xml:space="preserve">    Provisões </t>
  </si>
  <si>
    <t xml:space="preserve">    Credores Diversos </t>
  </si>
  <si>
    <t>Nota 20</t>
  </si>
  <si>
    <r>
      <t xml:space="preserve">    Depósitos Contribuições e Consignações</t>
    </r>
    <r>
      <rPr>
        <b/>
        <sz val="11"/>
        <color indexed="10"/>
        <rFont val="Arial"/>
        <family val="2"/>
      </rPr>
      <t xml:space="preserve"> </t>
    </r>
  </si>
  <si>
    <t xml:space="preserve">    Convênios  </t>
  </si>
  <si>
    <t>Nota 21</t>
  </si>
  <si>
    <t xml:space="preserve">    Ações Judiciais</t>
  </si>
  <si>
    <t>Nota 22</t>
  </si>
  <si>
    <t xml:space="preserve"> EXIGÍVEL A LONGO PRAZO </t>
  </si>
  <si>
    <t xml:space="preserve">    Créditos para futuro aumento de capital</t>
  </si>
  <si>
    <t xml:space="preserve">PATRIMÔNIO LÍQUIDO </t>
  </si>
  <si>
    <t xml:space="preserve">    Capital Social </t>
  </si>
  <si>
    <t xml:space="preserve">    Créditos para aumento de capital</t>
  </si>
  <si>
    <t xml:space="preserve">    Reserva Especial</t>
  </si>
  <si>
    <t xml:space="preserve">    Lucro e Prejuízos do Exercício</t>
  </si>
  <si>
    <t>Nota 25 c</t>
  </si>
  <si>
    <t xml:space="preserve">    Ajuste de Exercícios Anteriores</t>
  </si>
  <si>
    <t>Nota 25 d</t>
  </si>
  <si>
    <t xml:space="preserve">    Convênio CVT</t>
  </si>
  <si>
    <t xml:space="preserve">    PORTUS - Termo de Compromisso Financeiro</t>
  </si>
  <si>
    <t xml:space="preserve">    PORTUS - Passivo Atuarial</t>
  </si>
  <si>
    <t xml:space="preserve">    Ajuste O.R.A. - Portus</t>
  </si>
  <si>
    <t xml:space="preserve">    Ajuste de Avaliaçao Patrimonial</t>
  </si>
  <si>
    <t xml:space="preserve">DEMONSTRAÇÃO DO RESULTADO </t>
  </si>
  <si>
    <t>( Em milhares de reais)</t>
  </si>
  <si>
    <t xml:space="preserve">PERÍODOS DE </t>
  </si>
  <si>
    <t>30/SET/17</t>
  </si>
  <si>
    <t>30/SET/16</t>
  </si>
  <si>
    <t>RECEITA OPERACIONAL LÍQUIDA</t>
  </si>
  <si>
    <t>Nota 26</t>
  </si>
  <si>
    <t>CUSTOS DOS SERVIÇOS</t>
  </si>
  <si>
    <t>Nota 27</t>
  </si>
  <si>
    <t>LUCRO BRUTO</t>
  </si>
  <si>
    <t>DESPESAS/RECEITAS OPERACIONAIS</t>
  </si>
  <si>
    <t xml:space="preserve">   Despesas Gerais e Administrativas</t>
  </si>
  <si>
    <t>Nota 28</t>
  </si>
  <si>
    <t xml:space="preserve">   Outras Receitas e Despesas Operacionais </t>
  </si>
  <si>
    <t>Nota 29</t>
  </si>
  <si>
    <t xml:space="preserve">RESULTADO OPERACIONAL ANTES DAS RECEITAS E </t>
  </si>
  <si>
    <t xml:space="preserve">   Receitas Financeiras</t>
  </si>
  <si>
    <t>Nota 30 a</t>
  </si>
  <si>
    <t xml:space="preserve">   Despesas Financeiras</t>
  </si>
  <si>
    <t>Nota 30  b</t>
  </si>
  <si>
    <t>RESULTADO ANTES DOS TRIBUTOS SOBRE O LUCRO</t>
  </si>
  <si>
    <t xml:space="preserve">DESPESAS COM TRIBUTOS SOBRE O LUCRO </t>
  </si>
  <si>
    <t>PREJUÍZO/LUCRO DO EXERCÍCIO ANTES DO</t>
  </si>
  <si>
    <t>IMPOSTO DE RENDA E CSSL</t>
  </si>
  <si>
    <t>PROVISÃO P/IMPOSTO DE RENDA E CSSL</t>
  </si>
  <si>
    <t>PREJUIZO LÍQUIDO DO EXERCÍCIO</t>
  </si>
  <si>
    <t>Pág.: 1 de 17</t>
  </si>
  <si>
    <t>Licenciado para:</t>
  </si>
  <si>
    <t>NILANE</t>
  </si>
  <si>
    <t>Empresa: COMPANHIA DOCAS DO CEARA - CNPJ: 07.223.670/0001-16</t>
  </si>
  <si>
    <t>Fortes Contábil 6.161.0</t>
  </si>
  <si>
    <t>Período: 01/01/2019 a 30/06/2019; Estabelecimento(s): Todos; Centro(s) de Resultados: Todos</t>
  </si>
  <si>
    <t>13:13:29</t>
  </si>
  <si>
    <t>Continua...</t>
  </si>
  <si>
    <t>Pág.: 2 de 17</t>
  </si>
  <si>
    <t>Pág.: 3 de 17</t>
  </si>
  <si>
    <t>Pág.: 4 de 17</t>
  </si>
  <si>
    <t>Pág.: 5 de 17</t>
  </si>
  <si>
    <t>Pág.: 6 de 17</t>
  </si>
  <si>
    <t>Pág.: 7 de 17</t>
  </si>
  <si>
    <t>Pág.: 8 de 17</t>
  </si>
  <si>
    <t>Pág.: 9 de 17</t>
  </si>
  <si>
    <t>Pág.: 10 de 17</t>
  </si>
  <si>
    <t>Pág.: 11 de 17</t>
  </si>
  <si>
    <t>Pág.: 12 de 17</t>
  </si>
  <si>
    <t>Pág.: 13 de 17</t>
  </si>
  <si>
    <t>Pág.: 14 de 17</t>
  </si>
  <si>
    <t>Pág.: 15 de 17</t>
  </si>
  <si>
    <t>Pág.: 16 de 17</t>
  </si>
  <si>
    <t>Pág.: 17 de 17</t>
  </si>
  <si>
    <t>DEMONSTRAÇÃO DAS MUTAÇÕES DO PATRIMÔNIO LÍQUIDO</t>
  </si>
  <si>
    <t>CAPITAL SOCIAL SUBSCRITO</t>
  </si>
  <si>
    <t>CRÉD. P/ FUTURO</t>
  </si>
  <si>
    <t xml:space="preserve">RESERVA </t>
  </si>
  <si>
    <t xml:space="preserve">AJUSTE DE </t>
  </si>
  <si>
    <t>LUCRO(PREJUÍZOS)</t>
  </si>
  <si>
    <t>DESCRIÇÃO</t>
  </si>
  <si>
    <t>OUTROS</t>
  </si>
  <si>
    <t>AUMENTO CAPITAL</t>
  </si>
  <si>
    <t>ESPECIAL</t>
  </si>
  <si>
    <t>AVALIAÇÃO</t>
  </si>
  <si>
    <t>ACUMULADOS</t>
  </si>
  <si>
    <t>GERAL</t>
  </si>
  <si>
    <t>Saldos em 31 de dezembro de 2017</t>
  </si>
  <si>
    <t>Prejuízo do Exercício 2018</t>
  </si>
  <si>
    <t>Outras Mutações do Patrimônio Líquido</t>
  </si>
  <si>
    <t>Créd. p/ futuro aumento de capital</t>
  </si>
  <si>
    <t xml:space="preserve"> Ajuste de Avaliação Patrimonial</t>
  </si>
  <si>
    <t>Saldos em 31 de dezembro de 2018</t>
  </si>
  <si>
    <t>Absorção do Prejuízo com Capital Social</t>
  </si>
  <si>
    <t>Prejuízo do Exercício 2019</t>
  </si>
  <si>
    <t>Baixa Ajuste de Avaliação Patrimonial</t>
  </si>
  <si>
    <t>Prejuízo do Exercício 2020</t>
  </si>
  <si>
    <t>Saldos em 30 de junho de 2019</t>
  </si>
  <si>
    <t>Saldos em 30 de junho de 2020</t>
  </si>
  <si>
    <t xml:space="preserve">  Ganhos e Perdas Capital</t>
  </si>
  <si>
    <t>Saldos em 31 de março de 2020</t>
  </si>
  <si>
    <t>Reserva Especial Nota 24.b</t>
  </si>
  <si>
    <t xml:space="preserve">    PORTUS - IRTS</t>
  </si>
  <si>
    <t>Nota 25 e</t>
  </si>
  <si>
    <t xml:space="preserve"> 30 DE JUNHO DE 2020 E 30 DE JUNHO DE 2019</t>
  </si>
  <si>
    <t>DEMONSTRAÇÃO DO FLUXO DE CAIXA</t>
  </si>
  <si>
    <t>Saldos em 31 de dezembro de 2019 (REAPRESENTADO)</t>
  </si>
  <si>
    <t>REAPRESENTADA</t>
  </si>
  <si>
    <t>112.01.02.0014</t>
  </si>
  <si>
    <t>WINDSHIP AGENCIA MARITIMA LTDA</t>
  </si>
  <si>
    <t>sexta-feira, 6 de novembro de 2020</t>
  </si>
  <si>
    <t>13:49:26</t>
  </si>
  <si>
    <t>121.01.01.0114</t>
  </si>
  <si>
    <t>SINDEPOR - PROC.0001326-69.2019.507.0014</t>
  </si>
  <si>
    <t>COELCE/ ENEL</t>
  </si>
  <si>
    <t>211.01.01.0022</t>
  </si>
  <si>
    <t>IOB INFORM OBJETIVAS PUBLIC JURID LTDA</t>
  </si>
  <si>
    <t>211.01.01.0327</t>
  </si>
  <si>
    <t>WEBJUR PROCESSAMENTO DE DADOS LTDA -EPP</t>
  </si>
  <si>
    <t>211.01.01.0337</t>
  </si>
  <si>
    <t>INCOMEL - INDUSTRIA E COMERCIO DE MADEIRA</t>
  </si>
  <si>
    <t>211.01.01.0338</t>
  </si>
  <si>
    <t>MP VALVULAS IND E COM LTDA</t>
  </si>
  <si>
    <t>211.01.01.0341</t>
  </si>
  <si>
    <t>NAIANE KELLY DOS SANTOS LIMA - ME</t>
  </si>
  <si>
    <t>211.01.01.0347</t>
  </si>
  <si>
    <t>FUNDACAO CARLOS ALBERTO VANZOLINI</t>
  </si>
  <si>
    <t>211.01.01.0348</t>
  </si>
  <si>
    <t>NUCTECH DO BRASIL LTDA</t>
  </si>
  <si>
    <t>211.01.01.0349</t>
  </si>
  <si>
    <t>TRUST CONTROL SEGURANÇA EM TECN. DA INFORMACAO LTDA</t>
  </si>
  <si>
    <t>211.01.01.0350</t>
  </si>
  <si>
    <t>ECO + SERVIÇOS AMBIENTAIS E IMOBILIARIAS LTDA - ME</t>
  </si>
  <si>
    <t>211.01.01.0351</t>
  </si>
  <si>
    <t>J E DA SILVA SERVIÇOS</t>
  </si>
  <si>
    <t>211.01.01.0352</t>
  </si>
  <si>
    <t>COMERCIAL TOP MIX LTDA - EPP</t>
  </si>
  <si>
    <t>211.01.01.0353</t>
  </si>
  <si>
    <t>E DE BRITO COMERCIO E SERVIÇOS LTDA - ME</t>
  </si>
  <si>
    <t>211.01.01.0354</t>
  </si>
  <si>
    <t>LUIZ GUSTAVO DA SILVA MATOS</t>
  </si>
  <si>
    <t>211.01.02.0153</t>
  </si>
  <si>
    <t>NP CAPACITACAO E SOLUCOES TECNOLOGICAS LTDA</t>
  </si>
  <si>
    <t>211.01.02.0327</t>
  </si>
  <si>
    <t>MATEUS GUERRA DE FARIAS ME</t>
  </si>
  <si>
    <t>211.01.02.0546</t>
  </si>
  <si>
    <t>PAULO ROBERTO DA SILVA MORAIS</t>
  </si>
  <si>
    <t>211.01.02.0553</t>
  </si>
  <si>
    <t>AF CARTOES &amp; SISTEMAS E IDENTIFICACAO EIRELI</t>
  </si>
  <si>
    <t>217.01.02.0157</t>
  </si>
  <si>
    <t>NOVA ERA ADUANEIRA</t>
  </si>
  <si>
    <t>217.01.02.0175</t>
  </si>
  <si>
    <t>CERAMA TRANSPORTES LTDA</t>
  </si>
  <si>
    <t>217.01.02.0190</t>
  </si>
  <si>
    <t>XIN DAS VARIEDADES</t>
  </si>
  <si>
    <t>217.01.02.0191</t>
  </si>
  <si>
    <t>DANIEL TRAVASSO SANTORO</t>
  </si>
  <si>
    <t>217.01.02.0192</t>
  </si>
  <si>
    <t>GLOBAL ADUANEIRA IMP. EXP. LTDA</t>
  </si>
  <si>
    <t>217.01.02.0193</t>
  </si>
  <si>
    <t>GAC LOGISTICA DO BRASIL LTDA</t>
  </si>
  <si>
    <t>217.01.02.0195</t>
  </si>
  <si>
    <t>MIX COR IMPORTACAO DE VARIEDADES LTDA</t>
  </si>
  <si>
    <t>239.01.01.0007</t>
  </si>
  <si>
    <t>AJUSTES DE EXERCÍCIOS ANTERIORES - PLANO DE PENSÃO PORTUS</t>
  </si>
  <si>
    <t>411.01.01.0021</t>
  </si>
  <si>
    <t>411.01.01.0028</t>
  </si>
  <si>
    <t>DECISÃO JUDICIAL</t>
  </si>
  <si>
    <t>411.01.04.0014</t>
  </si>
  <si>
    <t>411.01.05.0009</t>
  </si>
  <si>
    <t>511.01.01.0026</t>
  </si>
  <si>
    <t>TREINAMENTO</t>
  </si>
  <si>
    <t>511.01.02.0010</t>
  </si>
  <si>
    <t>511.01.03.0004</t>
  </si>
  <si>
    <t>PUBLICIDADE INSTITUCIONAL</t>
  </si>
  <si>
    <t>0,03</t>
  </si>
  <si>
    <t>511.01.05.0025</t>
  </si>
  <si>
    <t>MULTAS E AUTOS DE INFRAÇÃO</t>
  </si>
  <si>
    <t>621.01.01.0009</t>
  </si>
  <si>
    <t>RECEITAS EVENTUAIS-TMP</t>
  </si>
  <si>
    <t>624.01.01.0010</t>
  </si>
  <si>
    <t>CONTRIBUIÇÃO EXTRAORDINARIA PORTUS - ASSISTIDOS</t>
  </si>
  <si>
    <t>Saldos em 30 de setembro de 2019</t>
  </si>
  <si>
    <t>Saldos em 30 de setembro de 2020</t>
  </si>
  <si>
    <t>Outras Mutações do Patrimônio Líquido Nota 25.d</t>
  </si>
  <si>
    <t>Ajustes de Avaliação Portus - O . R. Abrangentes Nota 25.d</t>
  </si>
  <si>
    <t>Ajustes de Exercicios Anteriores Nota 25.c</t>
  </si>
  <si>
    <t>Outras Mutações do Patrimônio Líquido Nota 25.c</t>
  </si>
  <si>
    <t xml:space="preserve">    Ações Judiciais - Longo Prazo</t>
  </si>
  <si>
    <t>Ações Judiciais - Longo Prazo</t>
  </si>
  <si>
    <t>Acordos/Ressarcimentos</t>
  </si>
  <si>
    <t>(As notas explicativas integram o conjunto das demonstrações contábeis)</t>
  </si>
  <si>
    <t>Saldos em 31 de dezembro de 2020</t>
  </si>
  <si>
    <t>Nota 8 b</t>
  </si>
  <si>
    <t>Nota 19</t>
  </si>
  <si>
    <t>ACUMULADO</t>
  </si>
  <si>
    <t>PERÍODO</t>
  </si>
  <si>
    <t>Nota 9</t>
  </si>
  <si>
    <t>Nota 9 a</t>
  </si>
  <si>
    <t>Nota 9 b</t>
  </si>
  <si>
    <t>Nota 9 c</t>
  </si>
  <si>
    <t>Nota 18 a</t>
  </si>
  <si>
    <t>Saldos em 31 de dezembro de 2021</t>
  </si>
  <si>
    <t xml:space="preserve">    Receitas Diferidas</t>
  </si>
  <si>
    <t>Receita diferida</t>
  </si>
  <si>
    <t>Receitas Diferidas</t>
  </si>
  <si>
    <t>Prejuizo 1º trimestre 2022</t>
  </si>
  <si>
    <t>(+/-) Baixas Depreciação Bens Leilão</t>
  </si>
  <si>
    <t>(-) Créditos PIS/COFINS (Depreciação/Amortização)</t>
  </si>
  <si>
    <t>Nota 24</t>
  </si>
  <si>
    <t>Nota 25 a</t>
  </si>
  <si>
    <t>Nota 25 b</t>
  </si>
  <si>
    <t>Nota 23 b</t>
  </si>
  <si>
    <t>Nota 23 a</t>
  </si>
  <si>
    <t xml:space="preserve">Nota 24 </t>
  </si>
  <si>
    <t>Nota 30</t>
  </si>
  <si>
    <t>Nota 31 a</t>
  </si>
  <si>
    <t>Nota 31  b</t>
  </si>
  <si>
    <t>Prejuizo 2º trimestre 2022</t>
  </si>
  <si>
    <t>Saldo em 30 de Junho de 2022</t>
  </si>
  <si>
    <t>Aumento Capital com creditos para futuro aumento de cap</t>
  </si>
  <si>
    <t>Créditos para Aumento de Capital</t>
  </si>
  <si>
    <t>Reserva Especial Nota 25.b</t>
  </si>
  <si>
    <t>Ajustes de Exercicios Anteriores Nota 25c</t>
  </si>
  <si>
    <t>Nota 18 d</t>
  </si>
  <si>
    <t>PORTUS - Termo de Compromisso Financeiro</t>
  </si>
  <si>
    <t>Saldo em 30 de Setembro de 2022</t>
  </si>
  <si>
    <t>Lucro 3º trimestre 2022</t>
  </si>
  <si>
    <t>(+/-) Otras mutações do Patrimônio Líquido</t>
  </si>
  <si>
    <t>Prejuízo do Exercício de  2021</t>
  </si>
  <si>
    <t xml:space="preserve">Crédito P/ Futuro aumento de capital </t>
  </si>
  <si>
    <t>Ajuste de Avaliação Patrimonial Portus - Atuarial</t>
  </si>
  <si>
    <t xml:space="preserve">Ajuste de Exercicios Anteriores </t>
  </si>
  <si>
    <t>a</t>
  </si>
  <si>
    <t xml:space="preserve">(+ou -) Outros Resultados Abrangentes </t>
  </si>
  <si>
    <t>(=) RESULTADO ABRANGENTE GERAL</t>
  </si>
  <si>
    <t>(=) LUCRO LÍQUIDO DO EXERCÍCIO</t>
  </si>
  <si>
    <t>(4.734)</t>
  </si>
  <si>
    <t xml:space="preserve">     Créditos a Receber </t>
  </si>
  <si>
    <t>Nota 15 a</t>
  </si>
  <si>
    <t>Nota 25 f</t>
  </si>
  <si>
    <t>31 DE DEZEMBRO DE 2022 E 31 DE DEZEMBRO DE 2021</t>
  </si>
  <si>
    <t>4º trimestre de 2022 e 4º trimestre de 2021</t>
  </si>
  <si>
    <t xml:space="preserve">    Prejuízos Acumulados</t>
  </si>
  <si>
    <t>PROVISÃO P/IMPOSTO DE RENDA E CSLL</t>
  </si>
  <si>
    <t>Nota 32</t>
  </si>
  <si>
    <t>31 DE DEZEMBRO DE 2022 E  31 DE DEZEMBRO DE 2021</t>
  </si>
  <si>
    <t>Saldo em 31 de Dezembro de 2022</t>
  </si>
  <si>
    <t>Lucro 4º trimestre 2022</t>
  </si>
  <si>
    <t>DEMONSTRAÇÃO DO RESULTADO ABRANGENTE EM 31/12/2022</t>
  </si>
  <si>
    <t>Saldo em 31 de Março de 2022</t>
  </si>
  <si>
    <t>Créditos a Rcebeber</t>
  </si>
  <si>
    <t xml:space="preserve">   Impostos Diferidos</t>
  </si>
  <si>
    <t>LUCRO OU(PREJUIZO)LÍQUIDO DO EXERCÍCIO</t>
  </si>
  <si>
    <t>Ajustes de Exercicios Anteriores Nota 24.c</t>
  </si>
  <si>
    <t>Ajustes de Avaliação Portus - O . R. Abrangentes Nota 24.d</t>
  </si>
  <si>
    <t>Antônio Erinaldo Freire Malveira</t>
  </si>
  <si>
    <t>Contador</t>
  </si>
  <si>
    <t>CRC CE-014871/O-2</t>
  </si>
  <si>
    <t>CPF: 386.105.663-15</t>
  </si>
  <si>
    <t xml:space="preserve">   Nota 25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</si>
</sst>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mm/yy"/>
    <numFmt numFmtId="165" formatCode="_(* #,##0_);_(* \(#,##0\);_(* &quot;-&quot;??_);_(@_)"/>
    <numFmt numFmtId="166" formatCode="_(* #,##0.00_);_(* \(#,##0.00\);_(* &quot;-&quot;??_);_(@_)"/>
    <numFmt numFmtId="167" formatCode="_(&quot;R$&quot;\ * #,##0.00_);_(&quot;R$&quot;\ * \(#,##0.00\);_(&quot;R$&quot;\ * &quot;-&quot;??_);_(@_)"/>
    <numFmt numFmtId="168" formatCode="#,##0.00_ ;\-#,##0.00\ "/>
    <numFmt numFmtId="169" formatCode="0.0000000"/>
    <numFmt numFmtId="170" formatCode="_-* #,##0_-;\-* #,##0_-;_-* &quot;-&quot;??_-;_-@_-"/>
  </numFmts>
  <fonts count="63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6"/>
      <name val="Arial"/>
      <family val="2"/>
    </font>
    <font>
      <u/>
      <sz val="11"/>
      <name val="Arial"/>
      <family val="2"/>
    </font>
    <font>
      <u/>
      <sz val="11"/>
      <color indexed="10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Calibri"/>
      <family val="2"/>
    </font>
    <font>
      <u/>
      <sz val="11"/>
      <name val="Calibri"/>
      <family val="2"/>
    </font>
    <font>
      <b/>
      <sz val="11"/>
      <color indexed="16"/>
      <name val="Calibri"/>
      <family val="2"/>
    </font>
    <font>
      <u val="singleAccounting"/>
      <sz val="11"/>
      <name val="Calibri"/>
      <family val="2"/>
    </font>
    <font>
      <b/>
      <u/>
      <sz val="11"/>
      <name val="Calibri"/>
      <family val="2"/>
    </font>
    <font>
      <b/>
      <sz val="12"/>
      <name val="Arial"/>
      <family val="2"/>
    </font>
    <font>
      <sz val="10"/>
      <name val="Calibri"/>
      <family val="2"/>
    </font>
    <font>
      <b/>
      <sz val="10"/>
      <color indexed="62"/>
      <name val="Calibri"/>
      <family val="2"/>
    </font>
    <font>
      <b/>
      <sz val="10"/>
      <name val="Calibri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u val="singleAccounting"/>
      <sz val="11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b/>
      <sz val="11"/>
      <color theme="1"/>
      <name val="Arial"/>
      <family val="2"/>
    </font>
    <font>
      <u val="singleAccounting"/>
      <sz val="11"/>
      <name val="Arial"/>
      <family val="2"/>
    </font>
    <font>
      <b/>
      <u/>
      <sz val="11"/>
      <color theme="1"/>
      <name val="Arial"/>
      <family val="2"/>
    </font>
    <font>
      <b/>
      <sz val="10"/>
      <color indexed="6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2"/>
      <color indexed="16"/>
      <name val="Arial"/>
      <family val="2"/>
    </font>
    <font>
      <u/>
      <sz val="12"/>
      <name val="Arial"/>
      <family val="2"/>
    </font>
    <font>
      <b/>
      <sz val="12"/>
      <name val="Calibri"/>
      <family val="2"/>
    </font>
    <font>
      <u/>
      <sz val="12"/>
      <name val="Calibri"/>
      <family val="2"/>
    </font>
    <font>
      <b/>
      <sz val="12"/>
      <color indexed="16"/>
      <name val="Calibri"/>
      <family val="2"/>
    </font>
    <font>
      <b/>
      <u val="singleAccounting"/>
      <sz val="11"/>
      <name val="Arial"/>
      <family val="2"/>
    </font>
    <font>
      <b/>
      <u/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/>
    <xf numFmtId="0" fontId="41" fillId="0" borderId="0"/>
    <xf numFmtId="0" fontId="1" fillId="0" borderId="0"/>
    <xf numFmtId="43" fontId="1" fillId="0" borderId="0" applyFont="0" applyFill="0" applyBorder="0" applyAlignment="0" applyProtection="0"/>
  </cellStyleXfs>
  <cellXfs count="5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1" fontId="0" fillId="0" borderId="0" xfId="0" applyNumberFormat="1"/>
    <xf numFmtId="165" fontId="6" fillId="0" borderId="0" xfId="1" applyNumberFormat="1" applyFont="1" applyFill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2" applyFont="1"/>
    <xf numFmtId="165" fontId="0" fillId="0" borderId="0" xfId="0" applyNumberFormat="1"/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6" fillId="0" borderId="0" xfId="3" applyNumberFormat="1" applyFont="1" applyFill="1"/>
    <xf numFmtId="165" fontId="6" fillId="0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" fontId="0" fillId="0" borderId="0" xfId="0" applyNumberFormat="1"/>
    <xf numFmtId="0" fontId="8" fillId="0" borderId="0" xfId="0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0" fillId="2" borderId="0" xfId="0" applyNumberFormat="1" applyFill="1"/>
    <xf numFmtId="3" fontId="0" fillId="0" borderId="0" xfId="0" applyNumberFormat="1"/>
    <xf numFmtId="0" fontId="8" fillId="0" borderId="0" xfId="0" applyFont="1" applyAlignment="1">
      <alignment horizontal="left" vertical="center"/>
    </xf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6" applyFont="1"/>
    <xf numFmtId="0" fontId="14" fillId="0" borderId="0" xfId="0" applyFont="1" applyAlignment="1">
      <alignment horizontal="centerContinuous"/>
    </xf>
    <xf numFmtId="167" fontId="14" fillId="0" borderId="0" xfId="7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6" fontId="14" fillId="0" borderId="0" xfId="6" applyFont="1" applyAlignment="1">
      <alignment horizontal="center"/>
    </xf>
    <xf numFmtId="165" fontId="17" fillId="0" borderId="0" xfId="6" applyNumberFormat="1" applyFont="1"/>
    <xf numFmtId="167" fontId="14" fillId="0" borderId="0" xfId="7" applyFont="1" applyAlignment="1">
      <alignment horizontal="left"/>
    </xf>
    <xf numFmtId="0" fontId="16" fillId="0" borderId="0" xfId="0" applyFont="1"/>
    <xf numFmtId="165" fontId="16" fillId="0" borderId="0" xfId="0" applyNumberFormat="1" applyFont="1" applyAlignment="1">
      <alignment horizontal="center"/>
    </xf>
    <xf numFmtId="167" fontId="17" fillId="0" borderId="0" xfId="7" applyFont="1"/>
    <xf numFmtId="167" fontId="17" fillId="0" borderId="0" xfId="7" quotePrefix="1" applyFont="1"/>
    <xf numFmtId="10" fontId="14" fillId="0" borderId="0" xfId="6" applyNumberFormat="1" applyFont="1"/>
    <xf numFmtId="166" fontId="18" fillId="0" borderId="0" xfId="6" applyFont="1"/>
    <xf numFmtId="37" fontId="14" fillId="0" borderId="0" xfId="0" applyNumberFormat="1" applyFont="1"/>
    <xf numFmtId="0" fontId="21" fillId="0" borderId="0" xfId="0" applyFont="1"/>
    <xf numFmtId="0" fontId="22" fillId="0" borderId="0" xfId="0" applyFont="1"/>
    <xf numFmtId="0" fontId="6" fillId="0" borderId="0" xfId="8" applyFont="1"/>
    <xf numFmtId="0" fontId="14" fillId="0" borderId="0" xfId="8" applyFont="1"/>
    <xf numFmtId="0" fontId="19" fillId="0" borderId="0" xfId="8" applyFont="1" applyAlignment="1">
      <alignment horizontal="centerContinuous"/>
    </xf>
    <xf numFmtId="49" fontId="6" fillId="0" borderId="0" xfId="8" applyNumberFormat="1" applyFont="1" applyAlignment="1">
      <alignment horizontal="center"/>
    </xf>
    <xf numFmtId="0" fontId="24" fillId="0" borderId="0" xfId="8" applyFont="1" applyAlignment="1">
      <alignment horizontal="center"/>
    </xf>
    <xf numFmtId="37" fontId="25" fillId="0" borderId="0" xfId="8" applyNumberFormat="1" applyFont="1"/>
    <xf numFmtId="0" fontId="26" fillId="0" borderId="0" xfId="8" applyFont="1"/>
    <xf numFmtId="165" fontId="25" fillId="0" borderId="0" xfId="8" applyNumberFormat="1" applyFont="1"/>
    <xf numFmtId="165" fontId="24" fillId="0" borderId="0" xfId="8" applyNumberFormat="1" applyFont="1" applyAlignment="1">
      <alignment horizontal="center"/>
    </xf>
    <xf numFmtId="0" fontId="24" fillId="0" borderId="0" xfId="8" applyFont="1"/>
    <xf numFmtId="37" fontId="6" fillId="0" borderId="0" xfId="8" applyNumberFormat="1" applyFont="1"/>
    <xf numFmtId="165" fontId="6" fillId="0" borderId="0" xfId="8" applyNumberFormat="1" applyFont="1"/>
    <xf numFmtId="165" fontId="27" fillId="0" borderId="0" xfId="9" applyNumberFormat="1" applyFont="1" applyFill="1" applyAlignment="1"/>
    <xf numFmtId="165" fontId="27" fillId="0" borderId="0" xfId="9" applyNumberFormat="1" applyFont="1" applyFill="1"/>
    <xf numFmtId="165" fontId="26" fillId="0" borderId="0" xfId="8" applyNumberFormat="1" applyFont="1"/>
    <xf numFmtId="165" fontId="24" fillId="0" borderId="0" xfId="8" applyNumberFormat="1" applyFont="1"/>
    <xf numFmtId="165" fontId="28" fillId="0" borderId="0" xfId="8" applyNumberFormat="1" applyFont="1"/>
    <xf numFmtId="0" fontId="6" fillId="0" borderId="0" xfId="8" quotePrefix="1" applyFont="1"/>
    <xf numFmtId="37" fontId="6" fillId="0" borderId="0" xfId="8" quotePrefix="1" applyNumberFormat="1" applyFont="1"/>
    <xf numFmtId="37" fontId="24" fillId="0" borderId="0" xfId="8" quotePrefix="1" applyNumberFormat="1" applyFont="1"/>
    <xf numFmtId="4" fontId="6" fillId="0" borderId="0" xfId="8" quotePrefix="1" applyNumberFormat="1" applyFont="1"/>
    <xf numFmtId="4" fontId="6" fillId="0" borderId="0" xfId="8" applyNumberFormat="1" applyFont="1"/>
    <xf numFmtId="43" fontId="6" fillId="0" borderId="0" xfId="8" applyNumberFormat="1" applyFont="1"/>
    <xf numFmtId="0" fontId="30" fillId="0" borderId="0" xfId="8" applyFont="1"/>
    <xf numFmtId="0" fontId="1" fillId="0" borderId="0" xfId="8" applyAlignment="1">
      <alignment horizontal="center"/>
    </xf>
    <xf numFmtId="0" fontId="1" fillId="0" borderId="0" xfId="8" applyAlignment="1">
      <alignment horizontal="centerContinuous"/>
    </xf>
    <xf numFmtId="0" fontId="30" fillId="3" borderId="0" xfId="8" applyFont="1" applyFill="1"/>
    <xf numFmtId="0" fontId="30" fillId="3" borderId="0" xfId="8" applyFont="1" applyFill="1" applyAlignment="1">
      <alignment horizontal="centerContinuous"/>
    </xf>
    <xf numFmtId="49" fontId="30" fillId="3" borderId="0" xfId="8" applyNumberFormat="1" applyFont="1" applyFill="1" applyAlignment="1">
      <alignment horizontal="right"/>
    </xf>
    <xf numFmtId="0" fontId="31" fillId="3" borderId="1" xfId="8" applyFont="1" applyFill="1" applyBorder="1" applyAlignment="1">
      <alignment horizontal="center"/>
    </xf>
    <xf numFmtId="37" fontId="31" fillId="3" borderId="2" xfId="8" applyNumberFormat="1" applyFont="1" applyFill="1" applyBorder="1" applyAlignment="1">
      <alignment horizontal="center"/>
    </xf>
    <xf numFmtId="0" fontId="31" fillId="3" borderId="1" xfId="8" applyFont="1" applyFill="1" applyBorder="1"/>
    <xf numFmtId="37" fontId="31" fillId="3" borderId="3" xfId="8" applyNumberFormat="1" applyFont="1" applyFill="1" applyBorder="1" applyAlignment="1">
      <alignment horizontal="center"/>
    </xf>
    <xf numFmtId="0" fontId="32" fillId="3" borderId="1" xfId="8" applyFont="1" applyFill="1" applyBorder="1"/>
    <xf numFmtId="165" fontId="32" fillId="3" borderId="1" xfId="8" applyNumberFormat="1" applyFont="1" applyFill="1" applyBorder="1"/>
    <xf numFmtId="165" fontId="32" fillId="3" borderId="1" xfId="6" applyNumberFormat="1" applyFont="1" applyFill="1" applyBorder="1"/>
    <xf numFmtId="0" fontId="30" fillId="3" borderId="1" xfId="8" applyFont="1" applyFill="1" applyBorder="1"/>
    <xf numFmtId="165" fontId="30" fillId="3" borderId="1" xfId="6" applyNumberFormat="1" applyFont="1" applyFill="1" applyBorder="1"/>
    <xf numFmtId="165" fontId="30" fillId="3" borderId="1" xfId="8" applyNumberFormat="1" applyFont="1" applyFill="1" applyBorder="1"/>
    <xf numFmtId="165" fontId="30" fillId="0" borderId="1" xfId="6" applyNumberFormat="1" applyFont="1" applyFill="1" applyBorder="1"/>
    <xf numFmtId="165" fontId="30" fillId="3" borderId="1" xfId="8" applyNumberFormat="1" applyFont="1" applyFill="1" applyBorder="1" applyAlignment="1">
      <alignment wrapText="1"/>
    </xf>
    <xf numFmtId="4" fontId="30" fillId="3" borderId="0" xfId="8" applyNumberFormat="1" applyFont="1" applyFill="1"/>
    <xf numFmtId="165" fontId="30" fillId="3" borderId="0" xfId="8" applyNumberFormat="1" applyFont="1" applyFill="1"/>
    <xf numFmtId="0" fontId="30" fillId="0" borderId="1" xfId="8" applyFont="1" applyBorder="1"/>
    <xf numFmtId="0" fontId="32" fillId="0" borderId="1" xfId="8" applyFont="1" applyBorder="1"/>
    <xf numFmtId="0" fontId="33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horizontal="right" vertical="top"/>
    </xf>
    <xf numFmtId="165" fontId="30" fillId="0" borderId="0" xfId="8" applyNumberFormat="1" applyFont="1"/>
    <xf numFmtId="0" fontId="4" fillId="0" borderId="0" xfId="0" applyFont="1" applyFill="1" applyAlignment="1">
      <alignment horizontal="center"/>
    </xf>
    <xf numFmtId="0" fontId="0" fillId="0" borderId="0" xfId="0" applyFill="1"/>
    <xf numFmtId="15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14" fillId="0" borderId="0" xfId="9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37" fontId="14" fillId="0" borderId="0" xfId="0" applyNumberFormat="1" applyFont="1" applyFill="1"/>
    <xf numFmtId="14" fontId="15" fillId="0" borderId="0" xfId="0" applyNumberFormat="1" applyFont="1" applyFill="1" applyAlignment="1">
      <alignment horizontal="center"/>
    </xf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/>
    <xf numFmtId="0" fontId="15" fillId="0" borderId="0" xfId="8" applyFont="1" applyAlignment="1"/>
    <xf numFmtId="165" fontId="14" fillId="0" borderId="0" xfId="0" applyNumberFormat="1" applyFont="1"/>
    <xf numFmtId="0" fontId="0" fillId="0" borderId="0" xfId="0"/>
    <xf numFmtId="0" fontId="6" fillId="0" borderId="0" xfId="8" applyFont="1" applyAlignment="1">
      <alignment horizontal="center"/>
    </xf>
    <xf numFmtId="0" fontId="14" fillId="0" borderId="0" xfId="8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8" applyFont="1"/>
    <xf numFmtId="0" fontId="13" fillId="0" borderId="0" xfId="0" applyFont="1"/>
    <xf numFmtId="0" fontId="14" fillId="0" borderId="0" xfId="0" applyFont="1" applyFill="1" applyAlignment="1">
      <alignment horizontal="centerContinuous"/>
    </xf>
    <xf numFmtId="49" fontId="14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center"/>
    </xf>
    <xf numFmtId="0" fontId="16" fillId="0" borderId="0" xfId="0" applyFont="1" applyFill="1"/>
    <xf numFmtId="37" fontId="17" fillId="0" borderId="0" xfId="0" applyNumberFormat="1" applyFont="1" applyFill="1"/>
    <xf numFmtId="37" fontId="14" fillId="0" borderId="0" xfId="0" quotePrefix="1" applyNumberFormat="1" applyFont="1" applyFill="1"/>
    <xf numFmtId="37" fontId="22" fillId="0" borderId="0" xfId="0" applyNumberFormat="1" applyFont="1" applyFill="1"/>
    <xf numFmtId="37" fontId="17" fillId="0" borderId="0" xfId="0" quotePrefix="1" applyNumberFormat="1" applyFont="1" applyFill="1"/>
    <xf numFmtId="0" fontId="22" fillId="0" borderId="0" xfId="0" applyFont="1" applyFill="1"/>
    <xf numFmtId="0" fontId="13" fillId="0" borderId="0" xfId="0" applyFont="1" applyAlignment="1">
      <alignment horizontal="center"/>
    </xf>
    <xf numFmtId="165" fontId="24" fillId="0" borderId="0" xfId="8" applyNumberFormat="1" applyFont="1" applyFill="1" applyAlignment="1">
      <alignment horizontal="center"/>
    </xf>
    <xf numFmtId="165" fontId="25" fillId="0" borderId="0" xfId="8" applyNumberFormat="1" applyFont="1" applyFill="1"/>
    <xf numFmtId="165" fontId="6" fillId="0" borderId="0" xfId="8" applyNumberFormat="1" applyFont="1" applyFill="1"/>
    <xf numFmtId="165" fontId="28" fillId="0" borderId="0" xfId="8" applyNumberFormat="1" applyFont="1" applyFill="1"/>
    <xf numFmtId="3" fontId="3" fillId="0" borderId="0" xfId="0" applyNumberFormat="1" applyFont="1" applyFill="1" applyAlignment="1">
      <alignment horizontal="right"/>
    </xf>
    <xf numFmtId="165" fontId="30" fillId="0" borderId="1" xfId="8" applyNumberFormat="1" applyFont="1" applyFill="1" applyBorder="1"/>
    <xf numFmtId="165" fontId="32" fillId="0" borderId="1" xfId="8" applyNumberFormat="1" applyFont="1" applyFill="1" applyBorder="1"/>
    <xf numFmtId="0" fontId="8" fillId="0" borderId="0" xfId="0" applyFont="1" applyAlignment="1">
      <alignment horizontal="left" vertical="center"/>
    </xf>
    <xf numFmtId="0" fontId="0" fillId="0" borderId="0" xfId="0"/>
    <xf numFmtId="0" fontId="8" fillId="2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6" fillId="0" borderId="0" xfId="8" applyFont="1" applyAlignment="1">
      <alignment horizontal="center"/>
    </xf>
    <xf numFmtId="0" fontId="14" fillId="0" borderId="0" xfId="8" applyFont="1" applyAlignment="1">
      <alignment horizontal="center"/>
    </xf>
    <xf numFmtId="37" fontId="25" fillId="0" borderId="0" xfId="8" applyNumberFormat="1" applyFont="1" applyFill="1"/>
    <xf numFmtId="0" fontId="24" fillId="0" borderId="0" xfId="8" applyFont="1" applyFill="1" applyAlignment="1">
      <alignment horizontal="center"/>
    </xf>
    <xf numFmtId="165" fontId="24" fillId="0" borderId="0" xfId="8" applyNumberFormat="1" applyFont="1" applyFill="1" applyBorder="1" applyAlignment="1">
      <alignment horizontal="center"/>
    </xf>
    <xf numFmtId="165" fontId="25" fillId="0" borderId="0" xfId="8" applyNumberFormat="1" applyFont="1" applyFill="1" applyAlignment="1"/>
    <xf numFmtId="165" fontId="26" fillId="0" borderId="0" xfId="8" applyNumberFormat="1" applyFont="1" applyFill="1"/>
    <xf numFmtId="165" fontId="24" fillId="0" borderId="0" xfId="8" applyNumberFormat="1" applyFont="1" applyFill="1"/>
    <xf numFmtId="0" fontId="0" fillId="0" borderId="0" xfId="0"/>
    <xf numFmtId="37" fontId="31" fillId="3" borderId="1" xfId="8" applyNumberFormat="1" applyFont="1" applyFill="1" applyBorder="1" applyAlignment="1">
      <alignment horizontal="center"/>
    </xf>
    <xf numFmtId="4" fontId="8" fillId="0" borderId="0" xfId="0" applyNumberFormat="1" applyFont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/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1" fillId="0" borderId="0" xfId="0" applyFont="1"/>
    <xf numFmtId="3" fontId="37" fillId="0" borderId="0" xfId="0" applyNumberFormat="1" applyFont="1" applyAlignment="1">
      <alignment horizontal="right"/>
    </xf>
    <xf numFmtId="3" fontId="0" fillId="2" borderId="0" xfId="0" applyNumberFormat="1" applyFill="1"/>
    <xf numFmtId="0" fontId="0" fillId="0" borderId="0" xfId="0"/>
    <xf numFmtId="0" fontId="26" fillId="0" borderId="0" xfId="8" applyFont="1" applyFill="1"/>
    <xf numFmtId="0" fontId="6" fillId="0" borderId="0" xfId="8" applyFont="1" applyFill="1"/>
    <xf numFmtId="0" fontId="24" fillId="0" borderId="0" xfId="8" applyFont="1" applyFill="1"/>
    <xf numFmtId="37" fontId="6" fillId="0" borderId="0" xfId="8" applyNumberFormat="1" applyFont="1" applyFill="1"/>
    <xf numFmtId="0" fontId="6" fillId="0" borderId="0" xfId="8" quotePrefix="1" applyFont="1" applyFill="1"/>
    <xf numFmtId="37" fontId="6" fillId="0" borderId="0" xfId="8" quotePrefix="1" applyNumberFormat="1" applyFont="1" applyFill="1"/>
    <xf numFmtId="37" fontId="24" fillId="0" borderId="0" xfId="8" quotePrefix="1" applyNumberFormat="1" applyFont="1" applyFill="1"/>
    <xf numFmtId="168" fontId="24" fillId="0" borderId="0" xfId="8" applyNumberFormat="1" applyFont="1" applyFill="1"/>
    <xf numFmtId="0" fontId="11" fillId="0" borderId="0" xfId="5" applyFont="1" applyFill="1" applyAlignment="1">
      <alignment horizontal="right" vertical="center"/>
    </xf>
    <xf numFmtId="43" fontId="6" fillId="0" borderId="0" xfId="8" applyNumberFormat="1" applyFont="1" applyFill="1"/>
    <xf numFmtId="4" fontId="6" fillId="0" borderId="0" xfId="8" quotePrefix="1" applyNumberFormat="1" applyFont="1" applyFill="1"/>
    <xf numFmtId="0" fontId="6" fillId="0" borderId="0" xfId="8" applyFont="1" applyFill="1" applyAlignment="1">
      <alignment horizontal="center"/>
    </xf>
    <xf numFmtId="0" fontId="1" fillId="0" borderId="0" xfId="2"/>
    <xf numFmtId="49" fontId="6" fillId="0" borderId="0" xfId="2" applyNumberFormat="1" applyFont="1" applyAlignment="1">
      <alignment horizontal="center"/>
    </xf>
    <xf numFmtId="49" fontId="24" fillId="0" borderId="0" xfId="2" applyNumberFormat="1" applyFont="1" applyAlignment="1">
      <alignment horizontal="left"/>
    </xf>
    <xf numFmtId="165" fontId="42" fillId="0" borderId="0" xfId="1" applyNumberFormat="1" applyFont="1" applyFill="1" applyBorder="1"/>
    <xf numFmtId="165" fontId="1" fillId="0" borderId="0" xfId="2" applyNumberFormat="1"/>
    <xf numFmtId="165" fontId="28" fillId="0" borderId="0" xfId="1" applyNumberFormat="1" applyFont="1" applyFill="1"/>
    <xf numFmtId="0" fontId="24" fillId="0" borderId="0" xfId="2" applyFont="1"/>
    <xf numFmtId="165" fontId="42" fillId="0" borderId="0" xfId="1" applyNumberFormat="1" applyFont="1" applyFill="1"/>
    <xf numFmtId="165" fontId="6" fillId="0" borderId="0" xfId="2" applyNumberFormat="1" applyFont="1"/>
    <xf numFmtId="165" fontId="24" fillId="0" borderId="0" xfId="1" applyNumberFormat="1" applyFont="1" applyFill="1"/>
    <xf numFmtId="4" fontId="0" fillId="0" borderId="0" xfId="0" applyNumberFormat="1" applyFill="1"/>
    <xf numFmtId="165" fontId="30" fillId="0" borderId="1" xfId="8" applyNumberFormat="1" applyFont="1" applyFill="1" applyBorder="1" applyAlignment="1">
      <alignment wrapText="1"/>
    </xf>
    <xf numFmtId="0" fontId="0" fillId="0" borderId="0" xfId="0" applyFill="1"/>
    <xf numFmtId="0" fontId="0" fillId="0" borderId="0" xfId="0"/>
    <xf numFmtId="37" fontId="22" fillId="0" borderId="0" xfId="0" applyNumberFormat="1" applyFont="1"/>
    <xf numFmtId="0" fontId="15" fillId="0" borderId="0" xfId="8" applyFont="1" applyFill="1" applyAlignment="1"/>
    <xf numFmtId="166" fontId="14" fillId="0" borderId="0" xfId="6" applyFont="1" applyFill="1"/>
    <xf numFmtId="4" fontId="6" fillId="0" borderId="0" xfId="8" applyNumberFormat="1" applyFont="1" applyFill="1"/>
    <xf numFmtId="0" fontId="0" fillId="0" borderId="0" xfId="0"/>
    <xf numFmtId="43" fontId="0" fillId="0" borderId="0" xfId="15" applyFont="1"/>
    <xf numFmtId="0" fontId="14" fillId="0" borderId="0" xfId="0" applyFont="1" applyFill="1" applyAlignment="1">
      <alignment horizontal="center"/>
    </xf>
    <xf numFmtId="0" fontId="30" fillId="0" borderId="0" xfId="8" applyFont="1" applyBorder="1"/>
    <xf numFmtId="0" fontId="0" fillId="0" borderId="0" xfId="0"/>
    <xf numFmtId="170" fontId="0" fillId="0" borderId="0" xfId="15" applyNumberFormat="1" applyFont="1"/>
    <xf numFmtId="43" fontId="6" fillId="0" borderId="0" xfId="15" applyFont="1"/>
    <xf numFmtId="170" fontId="0" fillId="0" borderId="0" xfId="15" applyNumberFormat="1" applyFont="1" applyFill="1"/>
    <xf numFmtId="0" fontId="15" fillId="0" borderId="0" xfId="8" applyFont="1" applyFill="1" applyBorder="1" applyAlignment="1"/>
    <xf numFmtId="170" fontId="14" fillId="0" borderId="0" xfId="15" applyNumberFormat="1" applyFont="1"/>
    <xf numFmtId="0" fontId="0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6" fillId="3" borderId="0" xfId="8" applyFont="1" applyFill="1"/>
    <xf numFmtId="15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6" fillId="3" borderId="0" xfId="8" applyFont="1" applyFill="1" applyAlignment="1">
      <alignment horizontal="center"/>
    </xf>
    <xf numFmtId="49" fontId="6" fillId="3" borderId="0" xfId="8" applyNumberFormat="1" applyFont="1" applyFill="1" applyAlignment="1">
      <alignment horizontal="center"/>
    </xf>
    <xf numFmtId="0" fontId="24" fillId="3" borderId="0" xfId="8" applyFont="1" applyFill="1" applyAlignment="1">
      <alignment horizontal="center"/>
    </xf>
    <xf numFmtId="37" fontId="25" fillId="3" borderId="0" xfId="8" applyNumberFormat="1" applyFont="1" applyFill="1"/>
    <xf numFmtId="165" fontId="25" fillId="3" borderId="0" xfId="8" applyNumberFormat="1" applyFont="1" applyFill="1"/>
    <xf numFmtId="165" fontId="24" fillId="3" borderId="0" xfId="8" applyNumberFormat="1" applyFont="1" applyFill="1" applyAlignment="1">
      <alignment horizontal="center"/>
    </xf>
    <xf numFmtId="165" fontId="6" fillId="3" borderId="0" xfId="8" applyNumberFormat="1" applyFont="1" applyFill="1"/>
    <xf numFmtId="165" fontId="27" fillId="3" borderId="0" xfId="9" applyNumberFormat="1" applyFont="1" applyFill="1" applyAlignment="1"/>
    <xf numFmtId="165" fontId="26" fillId="3" borderId="0" xfId="8" applyNumberFormat="1" applyFont="1" applyFill="1"/>
    <xf numFmtId="165" fontId="24" fillId="3" borderId="0" xfId="8" applyNumberFormat="1" applyFont="1" applyFill="1"/>
    <xf numFmtId="165" fontId="28" fillId="3" borderId="0" xfId="8" applyNumberFormat="1" applyFont="1" applyFill="1"/>
    <xf numFmtId="37" fontId="6" fillId="3" borderId="0" xfId="8" applyNumberFormat="1" applyFont="1" applyFill="1"/>
    <xf numFmtId="0" fontId="6" fillId="0" borderId="0" xfId="8" applyFont="1" applyFill="1" applyAlignment="1">
      <alignment horizontal="center"/>
    </xf>
    <xf numFmtId="43" fontId="14" fillId="0" borderId="0" xfId="15" applyFont="1"/>
    <xf numFmtId="43" fontId="21" fillId="0" borderId="0" xfId="15" applyFont="1"/>
    <xf numFmtId="43" fontId="22" fillId="0" borderId="0" xfId="15" applyFont="1"/>
    <xf numFmtId="0" fontId="0" fillId="3" borderId="0" xfId="0" applyFill="1"/>
    <xf numFmtId="0" fontId="19" fillId="0" borderId="0" xfId="8" applyFont="1" applyAlignment="1">
      <alignment horizontal="center"/>
    </xf>
    <xf numFmtId="0" fontId="0" fillId="0" borderId="0" xfId="0"/>
    <xf numFmtId="43" fontId="6" fillId="0" borderId="0" xfId="15" applyFont="1" applyFill="1"/>
    <xf numFmtId="170" fontId="6" fillId="0" borderId="0" xfId="8" applyNumberFormat="1" applyFont="1" applyFill="1"/>
    <xf numFmtId="170" fontId="0" fillId="3" borderId="0" xfId="15" applyNumberFormat="1" applyFont="1" applyFill="1"/>
    <xf numFmtId="170" fontId="0" fillId="3" borderId="0" xfId="0" applyNumberFormat="1" applyFill="1"/>
    <xf numFmtId="43" fontId="0" fillId="3" borderId="0" xfId="0" applyNumberFormat="1" applyFill="1"/>
    <xf numFmtId="0" fontId="6" fillId="0" borderId="0" xfId="8" applyFont="1" applyAlignment="1">
      <alignment horizontal="center"/>
    </xf>
    <xf numFmtId="0" fontId="14" fillId="0" borderId="0" xfId="8" applyFont="1" applyAlignment="1">
      <alignment horizontal="center"/>
    </xf>
    <xf numFmtId="0" fontId="6" fillId="0" borderId="0" xfId="8" applyFont="1" applyFill="1" applyAlignment="1">
      <alignment horizontal="center"/>
    </xf>
    <xf numFmtId="0" fontId="14" fillId="0" borderId="0" xfId="8" applyFont="1" applyAlignment="1"/>
    <xf numFmtId="0" fontId="6" fillId="0" borderId="0" xfId="8" applyFont="1" applyFill="1" applyAlignment="1">
      <alignment wrapText="1"/>
    </xf>
    <xf numFmtId="0" fontId="43" fillId="0" borderId="0" xfId="8" applyFont="1"/>
    <xf numFmtId="0" fontId="43" fillId="0" borderId="0" xfId="8" applyFont="1" applyAlignment="1">
      <alignment horizontal="center"/>
    </xf>
    <xf numFmtId="49" fontId="43" fillId="0" borderId="0" xfId="8" applyNumberFormat="1" applyFont="1" applyAlignment="1">
      <alignment horizontal="center"/>
    </xf>
    <xf numFmtId="37" fontId="45" fillId="0" borderId="0" xfId="8" applyNumberFormat="1" applyFont="1"/>
    <xf numFmtId="0" fontId="44" fillId="0" borderId="0" xfId="8" applyFont="1" applyFill="1" applyAlignment="1">
      <alignment horizontal="center"/>
    </xf>
    <xf numFmtId="37" fontId="45" fillId="0" borderId="0" xfId="8" applyNumberFormat="1" applyFont="1" applyFill="1"/>
    <xf numFmtId="0" fontId="43" fillId="0" borderId="0" xfId="8" applyFont="1" applyFill="1" applyAlignment="1">
      <alignment wrapText="1"/>
    </xf>
    <xf numFmtId="0" fontId="14" fillId="0" borderId="0" xfId="8" applyFont="1" applyAlignment="1">
      <alignment horizontal="center"/>
    </xf>
    <xf numFmtId="0" fontId="15" fillId="0" borderId="0" xfId="8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8" applyFont="1"/>
    <xf numFmtId="0" fontId="1" fillId="0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Fill="1" applyAlignment="1">
      <alignment horizontal="center"/>
    </xf>
    <xf numFmtId="0" fontId="46" fillId="3" borderId="0" xfId="0" applyFont="1" applyFill="1" applyAlignment="1">
      <alignment horizontal="center"/>
    </xf>
    <xf numFmtId="0" fontId="14" fillId="3" borderId="0" xfId="8" applyFont="1" applyFill="1"/>
    <xf numFmtId="15" fontId="46" fillId="0" borderId="0" xfId="0" applyNumberFormat="1" applyFont="1" applyAlignment="1">
      <alignment horizontal="center"/>
    </xf>
    <xf numFmtId="15" fontId="46" fillId="3" borderId="0" xfId="0" applyNumberFormat="1" applyFont="1" applyFill="1" applyAlignment="1">
      <alignment horizontal="center"/>
    </xf>
    <xf numFmtId="164" fontId="46" fillId="0" borderId="0" xfId="0" applyNumberFormat="1" applyFont="1" applyAlignment="1">
      <alignment horizontal="center"/>
    </xf>
    <xf numFmtId="164" fontId="46" fillId="3" borderId="0" xfId="0" applyNumberFormat="1" applyFont="1" applyFill="1" applyAlignment="1">
      <alignment horizontal="center"/>
    </xf>
    <xf numFmtId="0" fontId="14" fillId="3" borderId="0" xfId="8" applyFont="1" applyFill="1" applyAlignment="1">
      <alignment horizontal="center"/>
    </xf>
    <xf numFmtId="49" fontId="14" fillId="0" borderId="0" xfId="8" applyNumberFormat="1" applyFont="1" applyAlignment="1">
      <alignment horizontal="center"/>
    </xf>
    <xf numFmtId="49" fontId="14" fillId="3" borderId="0" xfId="8" applyNumberFormat="1" applyFont="1" applyFill="1" applyAlignment="1">
      <alignment horizontal="center"/>
    </xf>
    <xf numFmtId="37" fontId="17" fillId="0" borderId="0" xfId="8" applyNumberFormat="1" applyFont="1"/>
    <xf numFmtId="37" fontId="17" fillId="3" borderId="0" xfId="8" applyNumberFormat="1" applyFont="1" applyFill="1"/>
    <xf numFmtId="0" fontId="15" fillId="3" borderId="0" xfId="8" applyFont="1" applyFill="1" applyAlignment="1">
      <alignment horizontal="center"/>
    </xf>
    <xf numFmtId="0" fontId="16" fillId="0" borderId="0" xfId="8" applyFont="1" applyFill="1"/>
    <xf numFmtId="37" fontId="17" fillId="0" borderId="0" xfId="8" applyNumberFormat="1" applyFont="1" applyFill="1"/>
    <xf numFmtId="165" fontId="17" fillId="3" borderId="0" xfId="8" applyNumberFormat="1" applyFont="1" applyFill="1"/>
    <xf numFmtId="0" fontId="14" fillId="0" borderId="0" xfId="8" applyFont="1" applyFill="1"/>
    <xf numFmtId="0" fontId="15" fillId="0" borderId="0" xfId="8" applyFont="1" applyFill="1"/>
    <xf numFmtId="165" fontId="14" fillId="3" borderId="0" xfId="8" applyNumberFormat="1" applyFont="1" applyFill="1"/>
    <xf numFmtId="165" fontId="47" fillId="3" borderId="0" xfId="9" applyNumberFormat="1" applyFont="1" applyFill="1" applyAlignment="1"/>
    <xf numFmtId="165" fontId="20" fillId="0" borderId="0" xfId="8" applyNumberFormat="1" applyFont="1" applyFill="1"/>
    <xf numFmtId="165" fontId="20" fillId="3" borderId="0" xfId="8" applyNumberFormat="1" applyFont="1" applyFill="1"/>
    <xf numFmtId="37" fontId="14" fillId="3" borderId="0" xfId="8" applyNumberFormat="1" applyFont="1" applyFill="1"/>
    <xf numFmtId="0" fontId="14" fillId="0" borderId="0" xfId="8" quotePrefix="1" applyFont="1" applyFill="1"/>
    <xf numFmtId="37" fontId="14" fillId="0" borderId="0" xfId="8" quotePrefix="1" applyNumberFormat="1" applyFont="1" applyFill="1"/>
    <xf numFmtId="37" fontId="15" fillId="0" borderId="0" xfId="8" quotePrefix="1" applyNumberFormat="1" applyFont="1" applyFill="1"/>
    <xf numFmtId="168" fontId="15" fillId="0" borderId="0" xfId="8" applyNumberFormat="1" applyFont="1" applyFill="1"/>
    <xf numFmtId="0" fontId="8" fillId="0" borderId="0" xfId="5" applyFont="1" applyFill="1" applyAlignment="1">
      <alignment horizontal="right" vertical="center"/>
    </xf>
    <xf numFmtId="0" fontId="0" fillId="0" borderId="0" xfId="0" applyFont="1"/>
    <xf numFmtId="0" fontId="2" fillId="0" borderId="0" xfId="0" applyFont="1"/>
    <xf numFmtId="0" fontId="0" fillId="0" borderId="0" xfId="0" applyFont="1" applyFill="1"/>
    <xf numFmtId="0" fontId="0" fillId="3" borderId="0" xfId="0" applyFont="1" applyFill="1"/>
    <xf numFmtId="15" fontId="46" fillId="0" borderId="0" xfId="0" applyNumberFormat="1" applyFont="1" applyFill="1" applyAlignment="1">
      <alignment horizontal="center"/>
    </xf>
    <xf numFmtId="164" fontId="46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6" fillId="0" borderId="0" xfId="0" applyFont="1"/>
    <xf numFmtId="3" fontId="48" fillId="0" borderId="0" xfId="0" applyNumberFormat="1" applyFont="1" applyAlignment="1">
      <alignment horizontal="right"/>
    </xf>
    <xf numFmtId="3" fontId="48" fillId="0" borderId="0" xfId="0" applyNumberFormat="1" applyFont="1" applyFill="1" applyAlignment="1">
      <alignment horizontal="right"/>
    </xf>
    <xf numFmtId="0" fontId="2" fillId="3" borderId="0" xfId="0" applyFont="1" applyFill="1"/>
    <xf numFmtId="0" fontId="2" fillId="0" borderId="0" xfId="0" applyFont="1" applyFill="1"/>
    <xf numFmtId="3" fontId="2" fillId="0" borderId="0" xfId="0" applyNumberFormat="1" applyFont="1" applyFill="1" applyAlignment="1">
      <alignment horizontal="right"/>
    </xf>
    <xf numFmtId="165" fontId="14" fillId="0" borderId="0" xfId="1" applyNumberFormat="1" applyFont="1" applyFill="1"/>
    <xf numFmtId="0" fontId="2" fillId="0" borderId="0" xfId="0" applyFont="1" applyFill="1" applyAlignment="1">
      <alignment horizontal="right"/>
    </xf>
    <xf numFmtId="1" fontId="0" fillId="0" borderId="0" xfId="0" applyNumberFormat="1" applyFont="1" applyFill="1"/>
    <xf numFmtId="0" fontId="14" fillId="0" borderId="0" xfId="2" applyFont="1" applyFill="1"/>
    <xf numFmtId="0" fontId="48" fillId="0" borderId="0" xfId="0" applyFont="1" applyFill="1" applyAlignment="1">
      <alignment horizontal="right"/>
    </xf>
    <xf numFmtId="165" fontId="0" fillId="0" borderId="0" xfId="0" applyNumberFormat="1" applyFont="1" applyFill="1"/>
    <xf numFmtId="0" fontId="46" fillId="0" borderId="0" xfId="0" applyFont="1" applyFill="1"/>
    <xf numFmtId="165" fontId="14" fillId="0" borderId="0" xfId="1" applyNumberFormat="1" applyFont="1" applyFill="1" applyAlignment="1">
      <alignment horizontal="right"/>
    </xf>
    <xf numFmtId="0" fontId="46" fillId="0" borderId="0" xfId="0" applyFont="1" applyFill="1" applyAlignment="1">
      <alignment horizontal="center" wrapText="1"/>
    </xf>
    <xf numFmtId="3" fontId="48" fillId="0" borderId="0" xfId="0" applyNumberFormat="1" applyFont="1" applyFill="1" applyAlignment="1">
      <alignment horizontal="right" wrapText="1"/>
    </xf>
    <xf numFmtId="3" fontId="46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3" fontId="0" fillId="0" borderId="0" xfId="0" applyNumberFormat="1" applyFont="1" applyFill="1"/>
    <xf numFmtId="3" fontId="0" fillId="0" borderId="0" xfId="0" applyNumberFormat="1" applyFont="1"/>
    <xf numFmtId="169" fontId="0" fillId="0" borderId="0" xfId="0" applyNumberFormat="1" applyFont="1" applyFill="1"/>
    <xf numFmtId="169" fontId="0" fillId="0" borderId="0" xfId="0" applyNumberFormat="1" applyFont="1"/>
    <xf numFmtId="4" fontId="0" fillId="0" borderId="0" xfId="0" applyNumberFormat="1" applyFont="1" applyFill="1"/>
    <xf numFmtId="0" fontId="1" fillId="0" borderId="0" xfId="8" applyFont="1"/>
    <xf numFmtId="0" fontId="1" fillId="0" borderId="0" xfId="8" applyFont="1" applyBorder="1"/>
    <xf numFmtId="0" fontId="1" fillId="0" borderId="0" xfId="8" applyFont="1" applyBorder="1" applyAlignment="1">
      <alignment horizontal="center"/>
    </xf>
    <xf numFmtId="0" fontId="1" fillId="3" borderId="0" xfId="8" applyFont="1" applyFill="1" applyBorder="1"/>
    <xf numFmtId="165" fontId="1" fillId="0" borderId="0" xfId="8" applyNumberFormat="1" applyFont="1"/>
    <xf numFmtId="0" fontId="49" fillId="0" borderId="1" xfId="8" applyFont="1" applyFill="1" applyBorder="1" applyAlignment="1">
      <alignment horizontal="center"/>
    </xf>
    <xf numFmtId="37" fontId="49" fillId="0" borderId="2" xfId="8" applyNumberFormat="1" applyFont="1" applyFill="1" applyBorder="1" applyAlignment="1">
      <alignment horizontal="center"/>
    </xf>
    <xf numFmtId="0" fontId="49" fillId="0" borderId="1" xfId="8" applyFont="1" applyFill="1" applyBorder="1"/>
    <xf numFmtId="37" fontId="49" fillId="0" borderId="1" xfId="8" applyNumberFormat="1" applyFont="1" applyFill="1" applyBorder="1" applyAlignment="1">
      <alignment horizontal="center"/>
    </xf>
    <xf numFmtId="37" fontId="49" fillId="0" borderId="3" xfId="8" applyNumberFormat="1" applyFont="1" applyFill="1" applyBorder="1" applyAlignment="1">
      <alignment horizontal="center"/>
    </xf>
    <xf numFmtId="0" fontId="13" fillId="0" borderId="1" xfId="8" applyFont="1" applyFill="1" applyBorder="1"/>
    <xf numFmtId="0" fontId="1" fillId="0" borderId="1" xfId="8" applyFont="1" applyFill="1" applyBorder="1"/>
    <xf numFmtId="0" fontId="1" fillId="3" borderId="1" xfId="8" applyFont="1" applyFill="1" applyBorder="1"/>
    <xf numFmtId="0" fontId="13" fillId="0" borderId="0" xfId="8" applyFont="1" applyFill="1" applyBorder="1"/>
    <xf numFmtId="165" fontId="1" fillId="0" borderId="0" xfId="8" applyNumberFormat="1" applyFont="1" applyFill="1" applyBorder="1"/>
    <xf numFmtId="0" fontId="50" fillId="0" borderId="0" xfId="8" applyFont="1" applyAlignment="1">
      <alignment horizontal="center"/>
    </xf>
    <xf numFmtId="0" fontId="51" fillId="0" borderId="0" xfId="8" applyFont="1" applyAlignment="1">
      <alignment horizontal="center"/>
    </xf>
    <xf numFmtId="0" fontId="29" fillId="0" borderId="0" xfId="8" applyFont="1" applyAlignment="1">
      <alignment horizontal="center"/>
    </xf>
    <xf numFmtId="0" fontId="29" fillId="0" borderId="0" xfId="8" applyFont="1" applyFill="1" applyAlignment="1"/>
    <xf numFmtId="0" fontId="52" fillId="0" borderId="0" xfId="8" applyFont="1" applyBorder="1"/>
    <xf numFmtId="0" fontId="53" fillId="0" borderId="0" xfId="0" applyFont="1" applyFill="1" applyBorder="1" applyAlignment="1">
      <alignment horizontal="center"/>
    </xf>
    <xf numFmtId="0" fontId="50" fillId="0" borderId="0" xfId="8" applyFont="1" applyBorder="1"/>
    <xf numFmtId="0" fontId="50" fillId="0" borderId="0" xfId="8" applyFont="1"/>
    <xf numFmtId="0" fontId="54" fillId="0" borderId="0" xfId="0" applyFont="1" applyAlignment="1">
      <alignment horizontal="center"/>
    </xf>
    <xf numFmtId="0" fontId="55" fillId="0" borderId="0" xfId="8" applyFont="1" applyFill="1"/>
    <xf numFmtId="49" fontId="50" fillId="0" borderId="0" xfId="8" applyNumberFormat="1" applyFont="1" applyAlignment="1">
      <alignment horizontal="center"/>
    </xf>
    <xf numFmtId="37" fontId="56" fillId="0" borderId="0" xfId="8" applyNumberFormat="1" applyFont="1"/>
    <xf numFmtId="0" fontId="29" fillId="0" borderId="0" xfId="8" applyFont="1" applyFill="1" applyAlignment="1">
      <alignment horizontal="center"/>
    </xf>
    <xf numFmtId="165" fontId="56" fillId="0" borderId="0" xfId="8" applyNumberFormat="1" applyFont="1" applyFill="1"/>
    <xf numFmtId="0" fontId="29" fillId="0" borderId="0" xfId="8" applyFont="1" applyFill="1" applyBorder="1"/>
    <xf numFmtId="0" fontId="29" fillId="0" borderId="0" xfId="8" applyFont="1" applyFill="1" applyBorder="1" applyAlignment="1">
      <alignment horizontal="center"/>
    </xf>
    <xf numFmtId="165" fontId="29" fillId="0" borderId="0" xfId="8" applyNumberFormat="1" applyFont="1" applyFill="1" applyBorder="1" applyAlignment="1">
      <alignment horizontal="center"/>
    </xf>
    <xf numFmtId="165" fontId="56" fillId="0" borderId="0" xfId="8" applyNumberFormat="1" applyFont="1" applyFill="1" applyBorder="1"/>
    <xf numFmtId="0" fontId="55" fillId="0" borderId="0" xfId="8" applyFont="1" applyFill="1" applyBorder="1"/>
    <xf numFmtId="0" fontId="50" fillId="0" borderId="0" xfId="8" applyFont="1" applyFill="1"/>
    <xf numFmtId="165" fontId="29" fillId="0" borderId="0" xfId="8" applyNumberFormat="1" applyFont="1" applyFill="1" applyAlignment="1">
      <alignment horizontal="center"/>
    </xf>
    <xf numFmtId="0" fontId="52" fillId="0" borderId="0" xfId="8" applyFont="1" applyFill="1"/>
    <xf numFmtId="0" fontId="57" fillId="0" borderId="0" xfId="8" applyFont="1" applyFill="1" applyAlignment="1">
      <alignment horizontal="center"/>
    </xf>
    <xf numFmtId="165" fontId="58" fillId="0" borderId="0" xfId="8" applyNumberFormat="1" applyFont="1" applyFill="1"/>
    <xf numFmtId="165" fontId="57" fillId="0" borderId="0" xfId="8" applyNumberFormat="1" applyFont="1" applyFill="1" applyAlignment="1">
      <alignment horizontal="center"/>
    </xf>
    <xf numFmtId="165" fontId="52" fillId="0" borderId="0" xfId="8" applyNumberFormat="1" applyFont="1" applyFill="1"/>
    <xf numFmtId="0" fontId="59" fillId="0" borderId="0" xfId="8" applyFont="1" applyFill="1"/>
    <xf numFmtId="43" fontId="14" fillId="0" borderId="0" xfId="15" applyFont="1" applyFill="1"/>
    <xf numFmtId="43" fontId="28" fillId="3" borderId="0" xfId="15" applyFont="1" applyFill="1"/>
    <xf numFmtId="170" fontId="6" fillId="0" borderId="0" xfId="8" applyNumberFormat="1" applyFont="1"/>
    <xf numFmtId="43" fontId="0" fillId="0" borderId="0" xfId="0" applyNumberFormat="1"/>
    <xf numFmtId="170" fontId="0" fillId="0" borderId="0" xfId="0" applyNumberFormat="1"/>
    <xf numFmtId="37" fontId="61" fillId="0" borderId="0" xfId="8" applyNumberFormat="1" applyFont="1" applyAlignment="1">
      <alignment horizontal="right" vertical="center"/>
    </xf>
    <xf numFmtId="49" fontId="50" fillId="0" borderId="0" xfId="8" applyNumberFormat="1" applyFont="1" applyAlignment="1">
      <alignment horizontal="right" vertical="center"/>
    </xf>
    <xf numFmtId="37" fontId="56" fillId="0" borderId="0" xfId="8" applyNumberFormat="1" applyFont="1" applyAlignment="1">
      <alignment horizontal="right" vertical="center"/>
    </xf>
    <xf numFmtId="165" fontId="56" fillId="0" borderId="0" xfId="8" applyNumberFormat="1" applyFont="1" applyFill="1" applyAlignment="1">
      <alignment horizontal="right" vertical="center"/>
    </xf>
    <xf numFmtId="165" fontId="29" fillId="0" borderId="0" xfId="8" applyNumberFormat="1" applyFont="1" applyFill="1" applyBorder="1" applyAlignment="1">
      <alignment horizontal="right" vertical="center"/>
    </xf>
    <xf numFmtId="37" fontId="50" fillId="0" borderId="0" xfId="8" applyNumberFormat="1" applyFont="1" applyAlignment="1">
      <alignment horizontal="right" vertical="center"/>
    </xf>
    <xf numFmtId="15" fontId="54" fillId="0" borderId="0" xfId="0" applyNumberFormat="1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164" fontId="54" fillId="0" borderId="0" xfId="0" applyNumberFormat="1" applyFont="1" applyBorder="1" applyAlignment="1">
      <alignment horizontal="center" vertical="center"/>
    </xf>
    <xf numFmtId="165" fontId="13" fillId="0" borderId="1" xfId="8" applyNumberFormat="1" applyFont="1" applyFill="1" applyBorder="1" applyAlignment="1">
      <alignment horizontal="right" vertical="center"/>
    </xf>
    <xf numFmtId="165" fontId="1" fillId="0" borderId="1" xfId="6" applyNumberFormat="1" applyFont="1" applyFill="1" applyBorder="1" applyAlignment="1">
      <alignment horizontal="right" vertical="center"/>
    </xf>
    <xf numFmtId="0" fontId="1" fillId="0" borderId="1" xfId="8" applyFont="1" applyFill="1" applyBorder="1" applyAlignment="1">
      <alignment horizontal="right" vertical="center"/>
    </xf>
    <xf numFmtId="165" fontId="1" fillId="0" borderId="1" xfId="8" applyNumberFormat="1" applyFont="1" applyFill="1" applyBorder="1" applyAlignment="1">
      <alignment horizontal="right" vertical="center"/>
    </xf>
    <xf numFmtId="3" fontId="48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14" fillId="0" borderId="0" xfId="1" applyNumberFormat="1" applyFont="1" applyFill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3" fontId="48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right" vertical="center"/>
    </xf>
    <xf numFmtId="165" fontId="14" fillId="3" borderId="0" xfId="1" applyNumberFormat="1" applyFont="1" applyFill="1" applyAlignment="1">
      <alignment horizontal="right" vertical="center"/>
    </xf>
    <xf numFmtId="3" fontId="2" fillId="3" borderId="0" xfId="0" applyNumberFormat="1" applyFont="1" applyFill="1" applyAlignment="1">
      <alignment horizontal="right" vertical="center"/>
    </xf>
    <xf numFmtId="165" fontId="15" fillId="0" borderId="4" xfId="1" applyNumberFormat="1" applyFont="1" applyFill="1" applyBorder="1" applyAlignment="1">
      <alignment horizontal="right" vertical="center"/>
    </xf>
    <xf numFmtId="165" fontId="15" fillId="3" borderId="0" xfId="1" applyNumberFormat="1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right" vertical="center"/>
    </xf>
    <xf numFmtId="3" fontId="14" fillId="3" borderId="0" xfId="1" applyNumberFormat="1" applyFont="1" applyFill="1" applyAlignment="1">
      <alignment horizontal="right" vertical="center"/>
    </xf>
    <xf numFmtId="165" fontId="22" fillId="0" borderId="0" xfId="1" applyNumberFormat="1" applyFont="1" applyFill="1" applyAlignment="1">
      <alignment horizontal="right" vertical="center"/>
    </xf>
    <xf numFmtId="3" fontId="48" fillId="3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/>
    </xf>
    <xf numFmtId="3" fontId="46" fillId="3" borderId="0" xfId="0" applyNumberFormat="1" applyFont="1" applyFill="1" applyAlignment="1">
      <alignment horizontal="right" vertical="center"/>
    </xf>
    <xf numFmtId="3" fontId="46" fillId="0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165" fontId="0" fillId="0" borderId="0" xfId="0" applyNumberFormat="1" applyFont="1" applyFill="1" applyAlignment="1">
      <alignment horizontal="right" vertical="center"/>
    </xf>
    <xf numFmtId="165" fontId="60" fillId="0" borderId="0" xfId="1" applyNumberFormat="1" applyFont="1" applyFill="1" applyAlignment="1">
      <alignment horizontal="right" vertical="center"/>
    </xf>
    <xf numFmtId="165" fontId="60" fillId="3" borderId="0" xfId="1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1" fontId="14" fillId="3" borderId="0" xfId="1" applyNumberFormat="1" applyFont="1" applyFill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165" fontId="15" fillId="0" borderId="0" xfId="1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165" fontId="0" fillId="3" borderId="0" xfId="0" applyNumberFormat="1" applyFont="1" applyFill="1" applyAlignment="1">
      <alignment horizontal="right" vertical="center"/>
    </xf>
    <xf numFmtId="165" fontId="17" fillId="0" borderId="0" xfId="8" applyNumberFormat="1" applyFont="1" applyFill="1" applyAlignment="1">
      <alignment horizontal="right" vertical="center"/>
    </xf>
    <xf numFmtId="37" fontId="17" fillId="0" borderId="0" xfId="8" applyNumberFormat="1" applyFont="1" applyFill="1" applyAlignment="1">
      <alignment horizontal="right" vertical="center"/>
    </xf>
    <xf numFmtId="165" fontId="17" fillId="3" borderId="0" xfId="8" applyNumberFormat="1" applyFont="1" applyFill="1" applyAlignment="1">
      <alignment horizontal="right" vertical="center"/>
    </xf>
    <xf numFmtId="165" fontId="15" fillId="0" borderId="0" xfId="8" applyNumberFormat="1" applyFont="1" applyFill="1" applyAlignment="1">
      <alignment horizontal="right" vertical="center"/>
    </xf>
    <xf numFmtId="0" fontId="15" fillId="0" borderId="0" xfId="8" applyFont="1" applyFill="1" applyAlignment="1">
      <alignment horizontal="right" vertical="center"/>
    </xf>
    <xf numFmtId="165" fontId="15" fillId="3" borderId="0" xfId="8" applyNumberFormat="1" applyFont="1" applyFill="1" applyAlignment="1">
      <alignment horizontal="right" vertical="center"/>
    </xf>
    <xf numFmtId="165" fontId="14" fillId="0" borderId="0" xfId="8" applyNumberFormat="1" applyFont="1" applyFill="1" applyAlignment="1">
      <alignment horizontal="right" vertical="center"/>
    </xf>
    <xf numFmtId="37" fontId="14" fillId="0" borderId="0" xfId="8" applyNumberFormat="1" applyFont="1" applyFill="1" applyAlignment="1">
      <alignment horizontal="right" vertical="center"/>
    </xf>
    <xf numFmtId="165" fontId="14" fillId="3" borderId="0" xfId="8" applyNumberFormat="1" applyFont="1" applyFill="1" applyAlignment="1">
      <alignment horizontal="right" vertical="center"/>
    </xf>
    <xf numFmtId="165" fontId="47" fillId="0" borderId="0" xfId="9" applyNumberFormat="1" applyFont="1" applyFill="1" applyAlignment="1">
      <alignment horizontal="right" vertical="center"/>
    </xf>
    <xf numFmtId="165" fontId="16" fillId="0" borderId="0" xfId="8" applyNumberFormat="1" applyFont="1" applyFill="1" applyAlignment="1">
      <alignment horizontal="right" vertical="center"/>
    </xf>
    <xf numFmtId="0" fontId="16" fillId="0" borderId="0" xfId="8" applyFont="1" applyFill="1" applyAlignment="1">
      <alignment horizontal="right" vertical="center"/>
    </xf>
    <xf numFmtId="165" fontId="16" fillId="3" borderId="0" xfId="8" applyNumberFormat="1" applyFont="1" applyFill="1" applyAlignment="1">
      <alignment horizontal="right" vertical="center"/>
    </xf>
    <xf numFmtId="0" fontId="14" fillId="0" borderId="0" xfId="8" applyFont="1" applyFill="1" applyAlignment="1">
      <alignment horizontal="right" vertical="center"/>
    </xf>
    <xf numFmtId="165" fontId="20" fillId="0" borderId="0" xfId="8" applyNumberFormat="1" applyFont="1" applyFill="1" applyAlignment="1">
      <alignment horizontal="right" vertical="center"/>
    </xf>
    <xf numFmtId="37" fontId="17" fillId="3" borderId="0" xfId="0" applyNumberFormat="1" applyFont="1" applyFill="1" applyAlignment="1">
      <alignment horizontal="right" vertical="center"/>
    </xf>
    <xf numFmtId="37" fontId="17" fillId="0" borderId="0" xfId="0" applyNumberFormat="1" applyFont="1" applyFill="1" applyAlignment="1">
      <alignment horizontal="right" vertical="center"/>
    </xf>
    <xf numFmtId="37" fontId="14" fillId="3" borderId="0" xfId="0" applyNumberFormat="1" applyFont="1" applyFill="1" applyAlignment="1">
      <alignment horizontal="right" vertical="center"/>
    </xf>
    <xf numFmtId="37" fontId="14" fillId="0" borderId="0" xfId="0" applyNumberFormat="1" applyFont="1" applyFill="1" applyAlignment="1">
      <alignment horizontal="right" vertical="center"/>
    </xf>
    <xf numFmtId="37" fontId="0" fillId="0" borderId="0" xfId="0" applyNumberFormat="1" applyAlignment="1">
      <alignment horizontal="right" vertical="center"/>
    </xf>
    <xf numFmtId="165" fontId="14" fillId="0" borderId="0" xfId="6" applyNumberFormat="1" applyFont="1" applyFill="1" applyAlignment="1">
      <alignment horizontal="right" vertical="center"/>
    </xf>
    <xf numFmtId="165" fontId="14" fillId="0" borderId="0" xfId="9" applyNumberFormat="1" applyFont="1" applyFill="1" applyAlignment="1">
      <alignment horizontal="right" vertical="center"/>
    </xf>
    <xf numFmtId="165" fontId="22" fillId="0" borderId="0" xfId="6" applyNumberFormat="1" applyFont="1" applyFill="1" applyAlignment="1">
      <alignment horizontal="right" vertical="center"/>
    </xf>
    <xf numFmtId="165" fontId="17" fillId="0" borderId="0" xfId="6" applyNumberFormat="1" applyFont="1" applyFill="1" applyAlignment="1">
      <alignment horizontal="right" vertical="center"/>
    </xf>
    <xf numFmtId="37" fontId="20" fillId="0" borderId="0" xfId="0" applyNumberFormat="1" applyFont="1" applyFill="1" applyAlignment="1">
      <alignment horizontal="right" vertical="center"/>
    </xf>
    <xf numFmtId="166" fontId="14" fillId="0" borderId="0" xfId="6" applyFont="1" applyFill="1" applyBorder="1" applyAlignment="1">
      <alignment horizontal="right" vertical="center"/>
    </xf>
    <xf numFmtId="0" fontId="16" fillId="3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4" fillId="3" borderId="0" xfId="6" applyNumberFormat="1" applyFont="1" applyFill="1" applyBorder="1" applyAlignment="1">
      <alignment horizontal="right" vertical="center"/>
    </xf>
    <xf numFmtId="165" fontId="14" fillId="0" borderId="0" xfId="6" applyNumberFormat="1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6" fontId="15" fillId="0" borderId="0" xfId="6" applyFont="1" applyFill="1" applyBorder="1" applyAlignment="1">
      <alignment horizontal="right" vertical="center"/>
    </xf>
    <xf numFmtId="37" fontId="20" fillId="3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8" applyFont="1" applyFill="1" applyAlignment="1">
      <alignment horizontal="left" vertical="center"/>
    </xf>
    <xf numFmtId="0" fontId="16" fillId="0" borderId="0" xfId="8" applyFont="1" applyFill="1" applyAlignment="1">
      <alignment horizontal="left" vertical="center"/>
    </xf>
    <xf numFmtId="0" fontId="14" fillId="0" borderId="0" xfId="8" applyFont="1" applyFill="1" applyAlignment="1">
      <alignment horizontal="left" vertical="center"/>
    </xf>
    <xf numFmtId="0" fontId="0" fillId="0" borderId="0" xfId="0"/>
    <xf numFmtId="44" fontId="6" fillId="0" borderId="0" xfId="8" applyNumberFormat="1" applyFont="1" applyFill="1"/>
    <xf numFmtId="0" fontId="0" fillId="0" borderId="1" xfId="8" applyFont="1" applyFill="1" applyBorder="1"/>
    <xf numFmtId="0" fontId="6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6" fillId="0" borderId="0" xfId="8" applyFont="1" applyAlignment="1">
      <alignment horizontal="center" wrapText="1"/>
    </xf>
    <xf numFmtId="0" fontId="6" fillId="0" borderId="0" xfId="8" applyFont="1" applyAlignment="1">
      <alignment horizontal="center"/>
    </xf>
    <xf numFmtId="0" fontId="14" fillId="0" borderId="0" xfId="8" applyFont="1" applyAlignment="1">
      <alignment horizontal="center"/>
    </xf>
    <xf numFmtId="0" fontId="15" fillId="0" borderId="0" xfId="8" applyFont="1" applyAlignment="1">
      <alignment horizontal="center"/>
    </xf>
    <xf numFmtId="0" fontId="14" fillId="0" borderId="0" xfId="8" applyFont="1" applyFill="1" applyAlignment="1">
      <alignment horizontal="center" wrapText="1"/>
    </xf>
    <xf numFmtId="0" fontId="6" fillId="0" borderId="0" xfId="8" applyFont="1" applyFill="1" applyAlignment="1">
      <alignment horizontal="center"/>
    </xf>
    <xf numFmtId="0" fontId="15" fillId="0" borderId="0" xfId="8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12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24" fillId="0" borderId="0" xfId="2" applyFont="1" applyAlignment="1">
      <alignment horizontal="left" vertical="center" wrapText="1"/>
    </xf>
    <xf numFmtId="165" fontId="42" fillId="0" borderId="0" xfId="1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4" fillId="0" borderId="0" xfId="8" applyFont="1" applyFill="1" applyAlignment="1">
      <alignment horizontal="center" vertical="center" wrapText="1"/>
    </xf>
    <xf numFmtId="0" fontId="1" fillId="0" borderId="0" xfId="8" applyFont="1" applyFill="1" applyAlignment="1">
      <alignment horizontal="center"/>
    </xf>
    <xf numFmtId="37" fontId="49" fillId="0" borderId="1" xfId="8" applyNumberFormat="1" applyFont="1" applyFill="1" applyBorder="1" applyAlignment="1">
      <alignment horizontal="center"/>
    </xf>
    <xf numFmtId="0" fontId="13" fillId="0" borderId="0" xfId="8" applyFont="1" applyBorder="1" applyAlignment="1">
      <alignment horizontal="center"/>
    </xf>
    <xf numFmtId="0" fontId="13" fillId="0" borderId="0" xfId="8" applyFont="1" applyFill="1" applyBorder="1" applyAlignment="1">
      <alignment horizontal="center"/>
    </xf>
    <xf numFmtId="0" fontId="13" fillId="3" borderId="0" xfId="8" applyFont="1" applyFill="1" applyBorder="1" applyAlignment="1">
      <alignment horizontal="center"/>
    </xf>
    <xf numFmtId="0" fontId="1" fillId="3" borderId="0" xfId="8" applyFont="1" applyFill="1" applyBorder="1"/>
    <xf numFmtId="0" fontId="6" fillId="0" borderId="0" xfId="8" applyFont="1" applyFill="1" applyAlignment="1">
      <alignment horizontal="center" wrapText="1"/>
    </xf>
    <xf numFmtId="0" fontId="50" fillId="0" borderId="0" xfId="8" applyFont="1" applyAlignment="1">
      <alignment horizontal="center"/>
    </xf>
    <xf numFmtId="0" fontId="29" fillId="0" borderId="0" xfId="8" applyFont="1" applyAlignment="1">
      <alignment horizontal="center"/>
    </xf>
    <xf numFmtId="0" fontId="50" fillId="0" borderId="0" xfId="0" applyFont="1" applyAlignment="1">
      <alignment horizontal="center" vertical="center"/>
    </xf>
    <xf numFmtId="37" fontId="31" fillId="3" borderId="1" xfId="8" applyNumberFormat="1" applyFont="1" applyFill="1" applyBorder="1" applyAlignment="1">
      <alignment horizontal="center"/>
    </xf>
    <xf numFmtId="0" fontId="13" fillId="0" borderId="0" xfId="8" applyFont="1" applyAlignment="1">
      <alignment horizontal="center"/>
    </xf>
    <xf numFmtId="0" fontId="13" fillId="3" borderId="0" xfId="8" applyFont="1" applyFill="1" applyAlignment="1">
      <alignment horizontal="center"/>
    </xf>
    <xf numFmtId="0" fontId="1" fillId="3" borderId="0" xfId="8" applyFill="1"/>
  </cellXfs>
  <cellStyles count="16">
    <cellStyle name="Moeda 2" xfId="7"/>
    <cellStyle name="Normal" xfId="0" builtinId="0"/>
    <cellStyle name="Normal 2" xfId="4"/>
    <cellStyle name="Normal 2 2" xfId="8"/>
    <cellStyle name="Normal 2 2 4" xfId="14"/>
    <cellStyle name="Normal 3" xfId="5"/>
    <cellStyle name="Normal 3 2" xfId="10"/>
    <cellStyle name="Normal 4" xfId="11"/>
    <cellStyle name="Normal 5" xfId="12"/>
    <cellStyle name="Normal 6" xfId="13"/>
    <cellStyle name="Normal_DFC MIL E MILHARES DE REAIS 2" xfId="2"/>
    <cellStyle name="Separador de milhares 2" xfId="9"/>
    <cellStyle name="Separador de milhares_DFC MIL E MILHARES DE REAIS 2 2" xfId="1"/>
    <cellStyle name="Separador de milhares_DFC MIL E MILHARES DE REAIS 2 3" xfId="3"/>
    <cellStyle name="Vírgula" xfId="15" builtinId="3"/>
    <cellStyle name="Vírgula 2" xfId="6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inara.cruz\Desktop\Balancete%20Cont&#225;bil%201%20TRIM%20202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lane.menezes\Downloads\Demonstra&#231;&#245;es%202&#186;%20trim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DFIN/CONTABILIDADE/ASSESSORIA%20METROPOLE/NOTAS%20EXPLICATIVAS%202022/4&#186;.%20TRIM%202022/Balancete%20Cont&#225;bil%201220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DFIN/CONTABILIDADE/ASSESSORIA%20METROPOLE/NOTAS%20EXPLICATIVAS%202022/4&#186;.%20TRIM%202022/DEMONSTRACOES%204&#186;%20TRIM%202022/Balancete%20Cont&#225;bi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DFIN/CONTABILIDADE/ASSESSORIA%20METROPOLE/NOTAS%20EXPLICATIVAS%202022/4&#186;.%20TRIM%202022/DEMONSTRACOES%204&#186;%20TRIM%202022/6.Balancete%20Cont&#225;bil%20out%20a%20dez%20%204.trim%2020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DFIN/CONTABILIDADE/ASSESSORIA%20METROPOLE/NOTAS%20EXPLICATIVAS%202022/4&#186;.%20TRIM%202022/Balancete%20Cont&#225;bil%204%20trim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DFIN/CONTABILIDADE/ASSESSORIA%20METROPOLE/NOTAS%20EXPLICATIVAS%202022/4&#186;.%20TRIM%202022/DEMONSTRACOES%204&#186;%20TRIM%202022/Balancete%20Cont&#225;bil%2012202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DFIN/CONTABILIDADE/ASSESSORIA%20METROPOLE/NOTAS%20EXPLICATIVAS%202022/4&#186;.%20TRIM%202022/Balancete%20Cont&#225;bil%20122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DFIN/CONTABILIDADE/ASSESSORIA%20METROPOLE/NOTAS%20EXPLICATIVAS%202022/4&#186;.%20TRIM%202022/DEMONSTRACOES%204&#186;%20TRIM%202022/Balancete%20Cont&#225;bil%20jul%20a%20set%20202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DFIN/CONTABILIDADE/ASSESSORIA%20METROPOLE/NOTAS%20EXPLICATIVAS%202022/4&#186;.%20TRIM%202022/DEMONSTRACOES%204&#186;%20TRIM%202022/Balancete%20Cont&#225;bil%20jan%20a%20set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</sheetNames>
    <sheetDataSet>
      <sheetData sheetId="0" refreshError="1">
        <row r="9">
          <cell r="E9">
            <v>379.56</v>
          </cell>
        </row>
        <row r="12">
          <cell r="E12">
            <v>0</v>
          </cell>
        </row>
        <row r="17">
          <cell r="E17">
            <v>300952.07</v>
          </cell>
        </row>
        <row r="22">
          <cell r="E22">
            <v>579.36</v>
          </cell>
        </row>
        <row r="25">
          <cell r="E25">
            <v>860.19</v>
          </cell>
        </row>
        <row r="29">
          <cell r="E29">
            <v>25296191.66</v>
          </cell>
        </row>
        <row r="36">
          <cell r="E36">
            <v>5038917.38</v>
          </cell>
        </row>
        <row r="44">
          <cell r="E44">
            <v>328283.25</v>
          </cell>
        </row>
        <row r="47">
          <cell r="E47">
            <v>37400.239999999998</v>
          </cell>
        </row>
        <row r="51">
          <cell r="E51">
            <v>340666.62</v>
          </cell>
        </row>
        <row r="54">
          <cell r="E54">
            <v>369224.17</v>
          </cell>
        </row>
        <row r="66">
          <cell r="E66">
            <v>2239726.4500000002</v>
          </cell>
        </row>
        <row r="87">
          <cell r="E87">
            <v>56859.89</v>
          </cell>
        </row>
        <row r="102">
          <cell r="E102">
            <v>112205.67</v>
          </cell>
        </row>
        <row r="113">
          <cell r="E113">
            <v>788581.13</v>
          </cell>
        </row>
        <row r="153">
          <cell r="E153">
            <v>707022.42</v>
          </cell>
        </row>
        <row r="157">
          <cell r="E157">
            <v>6369558.8399999999</v>
          </cell>
        </row>
        <row r="160">
          <cell r="E160">
            <v>31900.1</v>
          </cell>
        </row>
        <row r="165">
          <cell r="E165">
            <v>279156279.70999998</v>
          </cell>
        </row>
        <row r="272">
          <cell r="E272">
            <v>553109.14</v>
          </cell>
        </row>
        <row r="288">
          <cell r="E288">
            <v>1631765.65</v>
          </cell>
        </row>
        <row r="354">
          <cell r="E354">
            <v>2780826.47</v>
          </cell>
        </row>
        <row r="368">
          <cell r="E368">
            <v>3564890.99</v>
          </cell>
        </row>
        <row r="373">
          <cell r="E373">
            <v>629815.68000000005</v>
          </cell>
        </row>
        <row r="382">
          <cell r="E382">
            <v>23283.3</v>
          </cell>
        </row>
        <row r="383">
          <cell r="E383">
            <v>1515343.37</v>
          </cell>
        </row>
        <row r="385">
          <cell r="E385">
            <v>386759.84</v>
          </cell>
        </row>
        <row r="399">
          <cell r="E399">
            <v>4720878.9400000004</v>
          </cell>
        </row>
        <row r="624">
          <cell r="E624">
            <v>188680.82</v>
          </cell>
        </row>
        <row r="629">
          <cell r="E629">
            <v>249217.28</v>
          </cell>
        </row>
        <row r="639">
          <cell r="E639">
            <v>2052658.77</v>
          </cell>
        </row>
        <row r="652">
          <cell r="E652">
            <v>2095385.59</v>
          </cell>
        </row>
        <row r="654">
          <cell r="E654">
            <v>57117219.409999996</v>
          </cell>
        </row>
        <row r="667">
          <cell r="E667">
            <v>9422038</v>
          </cell>
        </row>
        <row r="668">
          <cell r="E668">
            <v>7645140</v>
          </cell>
        </row>
        <row r="669">
          <cell r="E669">
            <v>25712986.629999999</v>
          </cell>
        </row>
        <row r="676">
          <cell r="E676">
            <v>273318713.10000002</v>
          </cell>
        </row>
        <row r="681">
          <cell r="E681">
            <v>7645140</v>
          </cell>
        </row>
        <row r="685">
          <cell r="E685">
            <v>1567523.3</v>
          </cell>
        </row>
        <row r="689">
          <cell r="E689">
            <v>12723379.66</v>
          </cell>
        </row>
        <row r="693">
          <cell r="E693">
            <v>76083431.459999993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  <sheetName val="semestre"/>
      <sheetName val="ATIVO"/>
      <sheetName val="trim 2019"/>
      <sheetName val="trimestre"/>
      <sheetName val="PASSIVO "/>
      <sheetName val="ACUM 2019"/>
      <sheetName val="DRE "/>
      <sheetName val="DFC "/>
      <sheetName val="ACUM 2019 (2)"/>
      <sheetName val="DMPL20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09">
          <cell r="J709">
            <v>16295158.73</v>
          </cell>
        </row>
      </sheetData>
      <sheetData sheetId="10"/>
      <sheetData sheetId="1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</sheetNames>
    <sheetDataSet>
      <sheetData sheetId="0">
        <row r="801">
          <cell r="K801">
            <v>17768648.98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</sheetNames>
    <sheetDataSet>
      <sheetData sheetId="0">
        <row r="768">
          <cell r="K768">
            <v>1236717.49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</sheetNames>
    <sheetDataSet>
      <sheetData sheetId="0">
        <row r="754">
          <cell r="H754">
            <v>11737003.949999999</v>
          </cell>
          <cell r="I754">
            <v>1329367.3700000001</v>
          </cell>
        </row>
        <row r="825">
          <cell r="H825">
            <v>8736276.4100000001</v>
          </cell>
          <cell r="I825">
            <v>246318.68</v>
          </cell>
        </row>
        <row r="927">
          <cell r="H927">
            <v>1027915.44</v>
          </cell>
          <cell r="I927">
            <v>19701.830000000002</v>
          </cell>
        </row>
        <row r="935">
          <cell r="H935">
            <v>5106.42</v>
          </cell>
          <cell r="I935">
            <v>1273777.78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</sheetNames>
    <sheetDataSet>
      <sheetData sheetId="0">
        <row r="729">
          <cell r="M729">
            <v>17268.86939</v>
          </cell>
        </row>
        <row r="755">
          <cell r="M755">
            <v>10509.70867</v>
          </cell>
        </row>
        <row r="824">
          <cell r="M824">
            <v>6942.2545199999995</v>
          </cell>
        </row>
        <row r="930">
          <cell r="M930">
            <v>2054.0226500000003</v>
          </cell>
        </row>
        <row r="939">
          <cell r="M939">
            <v>419.00921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  <sheetName val="balancte contabil 122022 190123"/>
    </sheetNames>
    <sheetDataSet>
      <sheetData sheetId="0">
        <row r="39">
          <cell r="E39">
            <v>5038917.38</v>
          </cell>
          <cell r="K39">
            <v>8622726.6300000008</v>
          </cell>
        </row>
        <row r="50">
          <cell r="E50">
            <v>37400.239999999998</v>
          </cell>
          <cell r="K50">
            <v>20454.990000000002</v>
          </cell>
        </row>
        <row r="54">
          <cell r="E54">
            <v>340666.62</v>
          </cell>
          <cell r="K54">
            <v>340666.62</v>
          </cell>
        </row>
        <row r="57">
          <cell r="E57">
            <v>369224.17</v>
          </cell>
          <cell r="K57">
            <v>518937.02</v>
          </cell>
        </row>
        <row r="69">
          <cell r="E69">
            <v>2239726.4500000002</v>
          </cell>
          <cell r="K69">
            <v>1906069.27</v>
          </cell>
        </row>
        <row r="91">
          <cell r="E91">
            <v>56859.89</v>
          </cell>
          <cell r="K91">
            <v>49430.26</v>
          </cell>
        </row>
        <row r="106">
          <cell r="E106">
            <v>112205.67</v>
          </cell>
          <cell r="K106">
            <v>132449.5</v>
          </cell>
        </row>
        <row r="316">
          <cell r="E316">
            <v>1631765.65</v>
          </cell>
          <cell r="K316">
            <v>398114.82</v>
          </cell>
        </row>
        <row r="447">
          <cell r="E447">
            <v>2780826.47</v>
          </cell>
          <cell r="K447">
            <v>2680191.75</v>
          </cell>
        </row>
        <row r="473">
          <cell r="E473">
            <v>386759.84</v>
          </cell>
          <cell r="K473">
            <v>445565.83</v>
          </cell>
        </row>
        <row r="493">
          <cell r="E493">
            <v>4720878.9400000004</v>
          </cell>
          <cell r="K493">
            <v>4928944.0199999996</v>
          </cell>
        </row>
        <row r="732">
          <cell r="E732">
            <v>249217.28</v>
          </cell>
          <cell r="K732">
            <v>352166.06</v>
          </cell>
        </row>
        <row r="739">
          <cell r="E739">
            <v>0</v>
          </cell>
          <cell r="K739">
            <v>40000</v>
          </cell>
        </row>
        <row r="742">
          <cell r="E742">
            <v>2052658.77</v>
          </cell>
          <cell r="K742">
            <v>2204434.83</v>
          </cell>
        </row>
        <row r="773">
          <cell r="E773">
            <v>0</v>
          </cell>
          <cell r="K773">
            <v>9221099.4299999997</v>
          </cell>
        </row>
        <row r="786">
          <cell r="E786">
            <v>273318713.10000002</v>
          </cell>
          <cell r="K786">
            <v>334150824.37</v>
          </cell>
        </row>
        <row r="797">
          <cell r="E797">
            <v>12723379.66</v>
          </cell>
          <cell r="K797">
            <v>6411449</v>
          </cell>
        </row>
        <row r="848">
          <cell r="K848">
            <v>39444532.060000002</v>
          </cell>
        </row>
        <row r="919">
          <cell r="K919">
            <v>29462732.93</v>
          </cell>
        </row>
        <row r="1017">
          <cell r="K1017">
            <v>5462456.4000000004</v>
          </cell>
        </row>
        <row r="1031">
          <cell r="K1031">
            <v>4485173.3099999996</v>
          </cell>
        </row>
        <row r="1068">
          <cell r="I1068">
            <v>1278747.75</v>
          </cell>
        </row>
        <row r="1072">
          <cell r="K1072">
            <v>17943956.84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</sheetNames>
    <sheetDataSet>
      <sheetData sheetId="0">
        <row r="823">
          <cell r="M823">
            <v>39275.240590000001</v>
          </cell>
        </row>
        <row r="893">
          <cell r="M893">
            <v>26671.498059999998</v>
          </cell>
        </row>
        <row r="1001">
          <cell r="M1001">
            <v>5682.8510500000002</v>
          </cell>
        </row>
        <row r="1010">
          <cell r="M1010">
            <v>847.74361999999996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</sheetNames>
    <sheetDataSet>
      <sheetData sheetId="0">
        <row r="8">
          <cell r="E8">
            <v>14912266.25</v>
          </cell>
          <cell r="K8">
            <v>20007060.68</v>
          </cell>
        </row>
        <row r="32">
          <cell r="E32">
            <v>4263429.24</v>
          </cell>
          <cell r="K32">
            <v>4829557.37</v>
          </cell>
        </row>
        <row r="42">
          <cell r="E42">
            <v>17310.25</v>
          </cell>
          <cell r="K42">
            <v>35238.42</v>
          </cell>
        </row>
        <row r="46">
          <cell r="E46">
            <v>366465.44</v>
          </cell>
          <cell r="K46">
            <v>340666.62</v>
          </cell>
        </row>
        <row r="49">
          <cell r="E49">
            <v>593587.12</v>
          </cell>
          <cell r="K49">
            <v>509855.75</v>
          </cell>
        </row>
        <row r="55">
          <cell r="E55">
            <v>4335246.78</v>
          </cell>
          <cell r="K55">
            <v>3515401.7</v>
          </cell>
        </row>
        <row r="80">
          <cell r="E80">
            <v>60644.03</v>
          </cell>
          <cell r="K80">
            <v>61509.9</v>
          </cell>
        </row>
        <row r="96">
          <cell r="E96">
            <v>327813.83</v>
          </cell>
          <cell r="K96">
            <v>224721.71</v>
          </cell>
        </row>
        <row r="107">
          <cell r="E107">
            <v>607261.98</v>
          </cell>
          <cell r="K107">
            <v>632677.97</v>
          </cell>
        </row>
        <row r="146">
          <cell r="E146">
            <v>4727213.5</v>
          </cell>
          <cell r="K146">
            <v>4727213.5</v>
          </cell>
        </row>
        <row r="155">
          <cell r="G155">
            <v>247000</v>
          </cell>
        </row>
        <row r="290">
          <cell r="E290">
            <v>916415.32</v>
          </cell>
          <cell r="K290">
            <v>1581108.27</v>
          </cell>
        </row>
        <row r="371">
          <cell r="E371">
            <v>3014020.79</v>
          </cell>
          <cell r="K371">
            <v>2847179.04</v>
          </cell>
        </row>
        <row r="394">
          <cell r="E394">
            <v>206977.04</v>
          </cell>
          <cell r="K394">
            <v>219098.35</v>
          </cell>
        </row>
        <row r="411">
          <cell r="E411">
            <v>4879804.0999999996</v>
          </cell>
          <cell r="K411">
            <v>4866662.67</v>
          </cell>
        </row>
        <row r="638">
          <cell r="E638">
            <v>188704.01</v>
          </cell>
          <cell r="K638">
            <v>188692.49</v>
          </cell>
        </row>
        <row r="643">
          <cell r="E643">
            <v>551465.72</v>
          </cell>
          <cell r="K643">
            <v>659126.93999999994</v>
          </cell>
        </row>
        <row r="650">
          <cell r="E650">
            <v>2640604</v>
          </cell>
          <cell r="K650">
            <v>2957640.88</v>
          </cell>
        </row>
        <row r="667">
          <cell r="E667">
            <v>2327593.8199999998</v>
          </cell>
          <cell r="K667">
            <v>2211908.15</v>
          </cell>
        </row>
        <row r="672">
          <cell r="E672">
            <v>55312209.789999999</v>
          </cell>
          <cell r="K672">
            <v>55988633.32</v>
          </cell>
        </row>
        <row r="678">
          <cell r="E678">
            <v>46300629.810000002</v>
          </cell>
          <cell r="K678">
            <v>44262580.579999998</v>
          </cell>
        </row>
        <row r="683">
          <cell r="E683">
            <v>107661.22</v>
          </cell>
          <cell r="K683">
            <v>0</v>
          </cell>
        </row>
        <row r="697">
          <cell r="E697">
            <v>1520580.98</v>
          </cell>
          <cell r="K697">
            <v>1539176.46</v>
          </cell>
        </row>
        <row r="812">
          <cell r="I812">
            <v>220666.99</v>
          </cell>
        </row>
        <row r="813">
          <cell r="G813">
            <v>2935435.99</v>
          </cell>
        </row>
        <row r="908">
          <cell r="G908">
            <v>916018.28</v>
          </cell>
        </row>
        <row r="909">
          <cell r="G909">
            <v>50736.87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</sheetNames>
    <sheetDataSet>
      <sheetData sheetId="0">
        <row r="8">
          <cell r="E8">
            <v>11006932.289999999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71"/>
  <sheetViews>
    <sheetView showGridLines="0" tabSelected="1" topLeftCell="A56" zoomScaleNormal="100" zoomScaleSheetLayoutView="100" workbookViewId="0">
      <selection activeCell="A13" sqref="A13:G70"/>
    </sheetView>
  </sheetViews>
  <sheetFormatPr defaultColWidth="11.42578125" defaultRowHeight="14.25" x14ac:dyDescent="0.2"/>
  <cols>
    <col min="1" max="1" width="42.5703125" style="29" customWidth="1"/>
    <col min="2" max="2" width="8.85546875" style="30" customWidth="1"/>
    <col min="3" max="3" width="4.140625" style="31" customWidth="1"/>
    <col min="4" max="4" width="20.28515625" style="33" hidden="1" customWidth="1"/>
    <col min="5" max="5" width="16.85546875" style="31" customWidth="1"/>
    <col min="6" max="6" width="3" style="31" customWidth="1"/>
    <col min="7" max="7" width="15.140625" style="31" customWidth="1"/>
    <col min="8" max="8" width="12.7109375" style="31" bestFit="1" customWidth="1"/>
    <col min="9" max="9" width="14.5703125" style="31" bestFit="1" customWidth="1"/>
    <col min="10" max="10" width="15.42578125" style="31" customWidth="1"/>
    <col min="11" max="11" width="13.5703125" style="31" bestFit="1" customWidth="1"/>
    <col min="12" max="97" width="11.42578125" style="31" customWidth="1"/>
    <col min="98" max="249" width="11.42578125" style="29"/>
    <col min="250" max="250" width="45.28515625" style="29" customWidth="1"/>
    <col min="251" max="251" width="11.140625" style="29" customWidth="1"/>
    <col min="252" max="252" width="18" style="29" customWidth="1"/>
    <col min="253" max="253" width="19.140625" style="29" customWidth="1"/>
    <col min="254" max="254" width="8.28515625" style="29" bestFit="1" customWidth="1"/>
    <col min="255" max="255" width="0" style="29" hidden="1" customWidth="1"/>
    <col min="256" max="256" width="16.85546875" style="29" bestFit="1" customWidth="1"/>
    <col min="257" max="258" width="14.5703125" style="29" bestFit="1" customWidth="1"/>
    <col min="259" max="505" width="11.42578125" style="29"/>
    <col min="506" max="506" width="45.28515625" style="29" customWidth="1"/>
    <col min="507" max="507" width="11.140625" style="29" customWidth="1"/>
    <col min="508" max="508" width="18" style="29" customWidth="1"/>
    <col min="509" max="509" width="19.140625" style="29" customWidth="1"/>
    <col min="510" max="510" width="8.28515625" style="29" bestFit="1" customWidth="1"/>
    <col min="511" max="511" width="0" style="29" hidden="1" customWidth="1"/>
    <col min="512" max="512" width="16.85546875" style="29" bestFit="1" customWidth="1"/>
    <col min="513" max="514" width="14.5703125" style="29" bestFit="1" customWidth="1"/>
    <col min="515" max="761" width="11.42578125" style="29"/>
    <col min="762" max="762" width="45.28515625" style="29" customWidth="1"/>
    <col min="763" max="763" width="11.140625" style="29" customWidth="1"/>
    <col min="764" max="764" width="18" style="29" customWidth="1"/>
    <col min="765" max="765" width="19.140625" style="29" customWidth="1"/>
    <col min="766" max="766" width="8.28515625" style="29" bestFit="1" customWidth="1"/>
    <col min="767" max="767" width="0" style="29" hidden="1" customWidth="1"/>
    <col min="768" max="768" width="16.85546875" style="29" bestFit="1" customWidth="1"/>
    <col min="769" max="770" width="14.5703125" style="29" bestFit="1" customWidth="1"/>
    <col min="771" max="1017" width="11.42578125" style="29"/>
    <col min="1018" max="1018" width="45.28515625" style="29" customWidth="1"/>
    <col min="1019" max="1019" width="11.140625" style="29" customWidth="1"/>
    <col min="1020" max="1020" width="18" style="29" customWidth="1"/>
    <col min="1021" max="1021" width="19.140625" style="29" customWidth="1"/>
    <col min="1022" max="1022" width="8.28515625" style="29" bestFit="1" customWidth="1"/>
    <col min="1023" max="1023" width="0" style="29" hidden="1" customWidth="1"/>
    <col min="1024" max="1024" width="16.85546875" style="29" bestFit="1" customWidth="1"/>
    <col min="1025" max="1026" width="14.5703125" style="29" bestFit="1" customWidth="1"/>
    <col min="1027" max="1273" width="11.42578125" style="29"/>
    <col min="1274" max="1274" width="45.28515625" style="29" customWidth="1"/>
    <col min="1275" max="1275" width="11.140625" style="29" customWidth="1"/>
    <col min="1276" max="1276" width="18" style="29" customWidth="1"/>
    <col min="1277" max="1277" width="19.140625" style="29" customWidth="1"/>
    <col min="1278" max="1278" width="8.28515625" style="29" bestFit="1" customWidth="1"/>
    <col min="1279" max="1279" width="0" style="29" hidden="1" customWidth="1"/>
    <col min="1280" max="1280" width="16.85546875" style="29" bestFit="1" customWidth="1"/>
    <col min="1281" max="1282" width="14.5703125" style="29" bestFit="1" customWidth="1"/>
    <col min="1283" max="1529" width="11.42578125" style="29"/>
    <col min="1530" max="1530" width="45.28515625" style="29" customWidth="1"/>
    <col min="1531" max="1531" width="11.140625" style="29" customWidth="1"/>
    <col min="1532" max="1532" width="18" style="29" customWidth="1"/>
    <col min="1533" max="1533" width="19.140625" style="29" customWidth="1"/>
    <col min="1534" max="1534" width="8.28515625" style="29" bestFit="1" customWidth="1"/>
    <col min="1535" max="1535" width="0" style="29" hidden="1" customWidth="1"/>
    <col min="1536" max="1536" width="16.85546875" style="29" bestFit="1" customWidth="1"/>
    <col min="1537" max="1538" width="14.5703125" style="29" bestFit="1" customWidth="1"/>
    <col min="1539" max="1785" width="11.42578125" style="29"/>
    <col min="1786" max="1786" width="45.28515625" style="29" customWidth="1"/>
    <col min="1787" max="1787" width="11.140625" style="29" customWidth="1"/>
    <col min="1788" max="1788" width="18" style="29" customWidth="1"/>
    <col min="1789" max="1789" width="19.140625" style="29" customWidth="1"/>
    <col min="1790" max="1790" width="8.28515625" style="29" bestFit="1" customWidth="1"/>
    <col min="1791" max="1791" width="0" style="29" hidden="1" customWidth="1"/>
    <col min="1792" max="1792" width="16.85546875" style="29" bestFit="1" customWidth="1"/>
    <col min="1793" max="1794" width="14.5703125" style="29" bestFit="1" customWidth="1"/>
    <col min="1795" max="2041" width="11.42578125" style="29"/>
    <col min="2042" max="2042" width="45.28515625" style="29" customWidth="1"/>
    <col min="2043" max="2043" width="11.140625" style="29" customWidth="1"/>
    <col min="2044" max="2044" width="18" style="29" customWidth="1"/>
    <col min="2045" max="2045" width="19.140625" style="29" customWidth="1"/>
    <col min="2046" max="2046" width="8.28515625" style="29" bestFit="1" customWidth="1"/>
    <col min="2047" max="2047" width="0" style="29" hidden="1" customWidth="1"/>
    <col min="2048" max="2048" width="16.85546875" style="29" bestFit="1" customWidth="1"/>
    <col min="2049" max="2050" width="14.5703125" style="29" bestFit="1" customWidth="1"/>
    <col min="2051" max="2297" width="11.42578125" style="29"/>
    <col min="2298" max="2298" width="45.28515625" style="29" customWidth="1"/>
    <col min="2299" max="2299" width="11.140625" style="29" customWidth="1"/>
    <col min="2300" max="2300" width="18" style="29" customWidth="1"/>
    <col min="2301" max="2301" width="19.140625" style="29" customWidth="1"/>
    <col min="2302" max="2302" width="8.28515625" style="29" bestFit="1" customWidth="1"/>
    <col min="2303" max="2303" width="0" style="29" hidden="1" customWidth="1"/>
    <col min="2304" max="2304" width="16.85546875" style="29" bestFit="1" customWidth="1"/>
    <col min="2305" max="2306" width="14.5703125" style="29" bestFit="1" customWidth="1"/>
    <col min="2307" max="2553" width="11.42578125" style="29"/>
    <col min="2554" max="2554" width="45.28515625" style="29" customWidth="1"/>
    <col min="2555" max="2555" width="11.140625" style="29" customWidth="1"/>
    <col min="2556" max="2556" width="18" style="29" customWidth="1"/>
    <col min="2557" max="2557" width="19.140625" style="29" customWidth="1"/>
    <col min="2558" max="2558" width="8.28515625" style="29" bestFit="1" customWidth="1"/>
    <col min="2559" max="2559" width="0" style="29" hidden="1" customWidth="1"/>
    <col min="2560" max="2560" width="16.85546875" style="29" bestFit="1" customWidth="1"/>
    <col min="2561" max="2562" width="14.5703125" style="29" bestFit="1" customWidth="1"/>
    <col min="2563" max="2809" width="11.42578125" style="29"/>
    <col min="2810" max="2810" width="45.28515625" style="29" customWidth="1"/>
    <col min="2811" max="2811" width="11.140625" style="29" customWidth="1"/>
    <col min="2812" max="2812" width="18" style="29" customWidth="1"/>
    <col min="2813" max="2813" width="19.140625" style="29" customWidth="1"/>
    <col min="2814" max="2814" width="8.28515625" style="29" bestFit="1" customWidth="1"/>
    <col min="2815" max="2815" width="0" style="29" hidden="1" customWidth="1"/>
    <col min="2816" max="2816" width="16.85546875" style="29" bestFit="1" customWidth="1"/>
    <col min="2817" max="2818" width="14.5703125" style="29" bestFit="1" customWidth="1"/>
    <col min="2819" max="3065" width="11.42578125" style="29"/>
    <col min="3066" max="3066" width="45.28515625" style="29" customWidth="1"/>
    <col min="3067" max="3067" width="11.140625" style="29" customWidth="1"/>
    <col min="3068" max="3068" width="18" style="29" customWidth="1"/>
    <col min="3069" max="3069" width="19.140625" style="29" customWidth="1"/>
    <col min="3070" max="3070" width="8.28515625" style="29" bestFit="1" customWidth="1"/>
    <col min="3071" max="3071" width="0" style="29" hidden="1" customWidth="1"/>
    <col min="3072" max="3072" width="16.85546875" style="29" bestFit="1" customWidth="1"/>
    <col min="3073" max="3074" width="14.5703125" style="29" bestFit="1" customWidth="1"/>
    <col min="3075" max="3321" width="11.42578125" style="29"/>
    <col min="3322" max="3322" width="45.28515625" style="29" customWidth="1"/>
    <col min="3323" max="3323" width="11.140625" style="29" customWidth="1"/>
    <col min="3324" max="3324" width="18" style="29" customWidth="1"/>
    <col min="3325" max="3325" width="19.140625" style="29" customWidth="1"/>
    <col min="3326" max="3326" width="8.28515625" style="29" bestFit="1" customWidth="1"/>
    <col min="3327" max="3327" width="0" style="29" hidden="1" customWidth="1"/>
    <col min="3328" max="3328" width="16.85546875" style="29" bestFit="1" customWidth="1"/>
    <col min="3329" max="3330" width="14.5703125" style="29" bestFit="1" customWidth="1"/>
    <col min="3331" max="3577" width="11.42578125" style="29"/>
    <col min="3578" max="3578" width="45.28515625" style="29" customWidth="1"/>
    <col min="3579" max="3579" width="11.140625" style="29" customWidth="1"/>
    <col min="3580" max="3580" width="18" style="29" customWidth="1"/>
    <col min="3581" max="3581" width="19.140625" style="29" customWidth="1"/>
    <col min="3582" max="3582" width="8.28515625" style="29" bestFit="1" customWidth="1"/>
    <col min="3583" max="3583" width="0" style="29" hidden="1" customWidth="1"/>
    <col min="3584" max="3584" width="16.85546875" style="29" bestFit="1" customWidth="1"/>
    <col min="3585" max="3586" width="14.5703125" style="29" bestFit="1" customWidth="1"/>
    <col min="3587" max="3833" width="11.42578125" style="29"/>
    <col min="3834" max="3834" width="45.28515625" style="29" customWidth="1"/>
    <col min="3835" max="3835" width="11.140625" style="29" customWidth="1"/>
    <col min="3836" max="3836" width="18" style="29" customWidth="1"/>
    <col min="3837" max="3837" width="19.140625" style="29" customWidth="1"/>
    <col min="3838" max="3838" width="8.28515625" style="29" bestFit="1" customWidth="1"/>
    <col min="3839" max="3839" width="0" style="29" hidden="1" customWidth="1"/>
    <col min="3840" max="3840" width="16.85546875" style="29" bestFit="1" customWidth="1"/>
    <col min="3841" max="3842" width="14.5703125" style="29" bestFit="1" customWidth="1"/>
    <col min="3843" max="4089" width="11.42578125" style="29"/>
    <col min="4090" max="4090" width="45.28515625" style="29" customWidth="1"/>
    <col min="4091" max="4091" width="11.140625" style="29" customWidth="1"/>
    <col min="4092" max="4092" width="18" style="29" customWidth="1"/>
    <col min="4093" max="4093" width="19.140625" style="29" customWidth="1"/>
    <col min="4094" max="4094" width="8.28515625" style="29" bestFit="1" customWidth="1"/>
    <col min="4095" max="4095" width="0" style="29" hidden="1" customWidth="1"/>
    <col min="4096" max="4096" width="16.85546875" style="29" bestFit="1" customWidth="1"/>
    <col min="4097" max="4098" width="14.5703125" style="29" bestFit="1" customWidth="1"/>
    <col min="4099" max="4345" width="11.42578125" style="29"/>
    <col min="4346" max="4346" width="45.28515625" style="29" customWidth="1"/>
    <col min="4347" max="4347" width="11.140625" style="29" customWidth="1"/>
    <col min="4348" max="4348" width="18" style="29" customWidth="1"/>
    <col min="4349" max="4349" width="19.140625" style="29" customWidth="1"/>
    <col min="4350" max="4350" width="8.28515625" style="29" bestFit="1" customWidth="1"/>
    <col min="4351" max="4351" width="0" style="29" hidden="1" customWidth="1"/>
    <col min="4352" max="4352" width="16.85546875" style="29" bestFit="1" customWidth="1"/>
    <col min="4353" max="4354" width="14.5703125" style="29" bestFit="1" customWidth="1"/>
    <col min="4355" max="4601" width="11.42578125" style="29"/>
    <col min="4602" max="4602" width="45.28515625" style="29" customWidth="1"/>
    <col min="4603" max="4603" width="11.140625" style="29" customWidth="1"/>
    <col min="4604" max="4604" width="18" style="29" customWidth="1"/>
    <col min="4605" max="4605" width="19.140625" style="29" customWidth="1"/>
    <col min="4606" max="4606" width="8.28515625" style="29" bestFit="1" customWidth="1"/>
    <col min="4607" max="4607" width="0" style="29" hidden="1" customWidth="1"/>
    <col min="4608" max="4608" width="16.85546875" style="29" bestFit="1" customWidth="1"/>
    <col min="4609" max="4610" width="14.5703125" style="29" bestFit="1" customWidth="1"/>
    <col min="4611" max="4857" width="11.42578125" style="29"/>
    <col min="4858" max="4858" width="45.28515625" style="29" customWidth="1"/>
    <col min="4859" max="4859" width="11.140625" style="29" customWidth="1"/>
    <col min="4860" max="4860" width="18" style="29" customWidth="1"/>
    <col min="4861" max="4861" width="19.140625" style="29" customWidth="1"/>
    <col min="4862" max="4862" width="8.28515625" style="29" bestFit="1" customWidth="1"/>
    <col min="4863" max="4863" width="0" style="29" hidden="1" customWidth="1"/>
    <col min="4864" max="4864" width="16.85546875" style="29" bestFit="1" customWidth="1"/>
    <col min="4865" max="4866" width="14.5703125" style="29" bestFit="1" customWidth="1"/>
    <col min="4867" max="5113" width="11.42578125" style="29"/>
    <col min="5114" max="5114" width="45.28515625" style="29" customWidth="1"/>
    <col min="5115" max="5115" width="11.140625" style="29" customWidth="1"/>
    <col min="5116" max="5116" width="18" style="29" customWidth="1"/>
    <col min="5117" max="5117" width="19.140625" style="29" customWidth="1"/>
    <col min="5118" max="5118" width="8.28515625" style="29" bestFit="1" customWidth="1"/>
    <col min="5119" max="5119" width="0" style="29" hidden="1" customWidth="1"/>
    <col min="5120" max="5120" width="16.85546875" style="29" bestFit="1" customWidth="1"/>
    <col min="5121" max="5122" width="14.5703125" style="29" bestFit="1" customWidth="1"/>
    <col min="5123" max="5369" width="11.42578125" style="29"/>
    <col min="5370" max="5370" width="45.28515625" style="29" customWidth="1"/>
    <col min="5371" max="5371" width="11.140625" style="29" customWidth="1"/>
    <col min="5372" max="5372" width="18" style="29" customWidth="1"/>
    <col min="5373" max="5373" width="19.140625" style="29" customWidth="1"/>
    <col min="5374" max="5374" width="8.28515625" style="29" bestFit="1" customWidth="1"/>
    <col min="5375" max="5375" width="0" style="29" hidden="1" customWidth="1"/>
    <col min="5376" max="5376" width="16.85546875" style="29" bestFit="1" customWidth="1"/>
    <col min="5377" max="5378" width="14.5703125" style="29" bestFit="1" customWidth="1"/>
    <col min="5379" max="5625" width="11.42578125" style="29"/>
    <col min="5626" max="5626" width="45.28515625" style="29" customWidth="1"/>
    <col min="5627" max="5627" width="11.140625" style="29" customWidth="1"/>
    <col min="5628" max="5628" width="18" style="29" customWidth="1"/>
    <col min="5629" max="5629" width="19.140625" style="29" customWidth="1"/>
    <col min="5630" max="5630" width="8.28515625" style="29" bestFit="1" customWidth="1"/>
    <col min="5631" max="5631" width="0" style="29" hidden="1" customWidth="1"/>
    <col min="5632" max="5632" width="16.85546875" style="29" bestFit="1" customWidth="1"/>
    <col min="5633" max="5634" width="14.5703125" style="29" bestFit="1" customWidth="1"/>
    <col min="5635" max="5881" width="11.42578125" style="29"/>
    <col min="5882" max="5882" width="45.28515625" style="29" customWidth="1"/>
    <col min="5883" max="5883" width="11.140625" style="29" customWidth="1"/>
    <col min="5884" max="5884" width="18" style="29" customWidth="1"/>
    <col min="5885" max="5885" width="19.140625" style="29" customWidth="1"/>
    <col min="5886" max="5886" width="8.28515625" style="29" bestFit="1" customWidth="1"/>
    <col min="5887" max="5887" width="0" style="29" hidden="1" customWidth="1"/>
    <col min="5888" max="5888" width="16.85546875" style="29" bestFit="1" customWidth="1"/>
    <col min="5889" max="5890" width="14.5703125" style="29" bestFit="1" customWidth="1"/>
    <col min="5891" max="6137" width="11.42578125" style="29"/>
    <col min="6138" max="6138" width="45.28515625" style="29" customWidth="1"/>
    <col min="6139" max="6139" width="11.140625" style="29" customWidth="1"/>
    <col min="6140" max="6140" width="18" style="29" customWidth="1"/>
    <col min="6141" max="6141" width="19.140625" style="29" customWidth="1"/>
    <col min="6142" max="6142" width="8.28515625" style="29" bestFit="1" customWidth="1"/>
    <col min="6143" max="6143" width="0" style="29" hidden="1" customWidth="1"/>
    <col min="6144" max="6144" width="16.85546875" style="29" bestFit="1" customWidth="1"/>
    <col min="6145" max="6146" width="14.5703125" style="29" bestFit="1" customWidth="1"/>
    <col min="6147" max="6393" width="11.42578125" style="29"/>
    <col min="6394" max="6394" width="45.28515625" style="29" customWidth="1"/>
    <col min="6395" max="6395" width="11.140625" style="29" customWidth="1"/>
    <col min="6396" max="6396" width="18" style="29" customWidth="1"/>
    <col min="6397" max="6397" width="19.140625" style="29" customWidth="1"/>
    <col min="6398" max="6398" width="8.28515625" style="29" bestFit="1" customWidth="1"/>
    <col min="6399" max="6399" width="0" style="29" hidden="1" customWidth="1"/>
    <col min="6400" max="6400" width="16.85546875" style="29" bestFit="1" customWidth="1"/>
    <col min="6401" max="6402" width="14.5703125" style="29" bestFit="1" customWidth="1"/>
    <col min="6403" max="6649" width="11.42578125" style="29"/>
    <col min="6650" max="6650" width="45.28515625" style="29" customWidth="1"/>
    <col min="6651" max="6651" width="11.140625" style="29" customWidth="1"/>
    <col min="6652" max="6652" width="18" style="29" customWidth="1"/>
    <col min="6653" max="6653" width="19.140625" style="29" customWidth="1"/>
    <col min="6654" max="6654" width="8.28515625" style="29" bestFit="1" customWidth="1"/>
    <col min="6655" max="6655" width="0" style="29" hidden="1" customWidth="1"/>
    <col min="6656" max="6656" width="16.85546875" style="29" bestFit="1" customWidth="1"/>
    <col min="6657" max="6658" width="14.5703125" style="29" bestFit="1" customWidth="1"/>
    <col min="6659" max="6905" width="11.42578125" style="29"/>
    <col min="6906" max="6906" width="45.28515625" style="29" customWidth="1"/>
    <col min="6907" max="6907" width="11.140625" style="29" customWidth="1"/>
    <col min="6908" max="6908" width="18" style="29" customWidth="1"/>
    <col min="6909" max="6909" width="19.140625" style="29" customWidth="1"/>
    <col min="6910" max="6910" width="8.28515625" style="29" bestFit="1" customWidth="1"/>
    <col min="6911" max="6911" width="0" style="29" hidden="1" customWidth="1"/>
    <col min="6912" max="6912" width="16.85546875" style="29" bestFit="1" customWidth="1"/>
    <col min="6913" max="6914" width="14.5703125" style="29" bestFit="1" customWidth="1"/>
    <col min="6915" max="7161" width="11.42578125" style="29"/>
    <col min="7162" max="7162" width="45.28515625" style="29" customWidth="1"/>
    <col min="7163" max="7163" width="11.140625" style="29" customWidth="1"/>
    <col min="7164" max="7164" width="18" style="29" customWidth="1"/>
    <col min="7165" max="7165" width="19.140625" style="29" customWidth="1"/>
    <col min="7166" max="7166" width="8.28515625" style="29" bestFit="1" customWidth="1"/>
    <col min="7167" max="7167" width="0" style="29" hidden="1" customWidth="1"/>
    <col min="7168" max="7168" width="16.85546875" style="29" bestFit="1" customWidth="1"/>
    <col min="7169" max="7170" width="14.5703125" style="29" bestFit="1" customWidth="1"/>
    <col min="7171" max="7417" width="11.42578125" style="29"/>
    <col min="7418" max="7418" width="45.28515625" style="29" customWidth="1"/>
    <col min="7419" max="7419" width="11.140625" style="29" customWidth="1"/>
    <col min="7420" max="7420" width="18" style="29" customWidth="1"/>
    <col min="7421" max="7421" width="19.140625" style="29" customWidth="1"/>
    <col min="7422" max="7422" width="8.28515625" style="29" bestFit="1" customWidth="1"/>
    <col min="7423" max="7423" width="0" style="29" hidden="1" customWidth="1"/>
    <col min="7424" max="7424" width="16.85546875" style="29" bestFit="1" customWidth="1"/>
    <col min="7425" max="7426" width="14.5703125" style="29" bestFit="1" customWidth="1"/>
    <col min="7427" max="7673" width="11.42578125" style="29"/>
    <col min="7674" max="7674" width="45.28515625" style="29" customWidth="1"/>
    <col min="7675" max="7675" width="11.140625" style="29" customWidth="1"/>
    <col min="7676" max="7676" width="18" style="29" customWidth="1"/>
    <col min="7677" max="7677" width="19.140625" style="29" customWidth="1"/>
    <col min="7678" max="7678" width="8.28515625" style="29" bestFit="1" customWidth="1"/>
    <col min="7679" max="7679" width="0" style="29" hidden="1" customWidth="1"/>
    <col min="7680" max="7680" width="16.85546875" style="29" bestFit="1" customWidth="1"/>
    <col min="7681" max="7682" width="14.5703125" style="29" bestFit="1" customWidth="1"/>
    <col min="7683" max="7929" width="11.42578125" style="29"/>
    <col min="7930" max="7930" width="45.28515625" style="29" customWidth="1"/>
    <col min="7931" max="7931" width="11.140625" style="29" customWidth="1"/>
    <col min="7932" max="7932" width="18" style="29" customWidth="1"/>
    <col min="7933" max="7933" width="19.140625" style="29" customWidth="1"/>
    <col min="7934" max="7934" width="8.28515625" style="29" bestFit="1" customWidth="1"/>
    <col min="7935" max="7935" width="0" style="29" hidden="1" customWidth="1"/>
    <col min="7936" max="7936" width="16.85546875" style="29" bestFit="1" customWidth="1"/>
    <col min="7937" max="7938" width="14.5703125" style="29" bestFit="1" customWidth="1"/>
    <col min="7939" max="8185" width="11.42578125" style="29"/>
    <col min="8186" max="8186" width="45.28515625" style="29" customWidth="1"/>
    <col min="8187" max="8187" width="11.140625" style="29" customWidth="1"/>
    <col min="8188" max="8188" width="18" style="29" customWidth="1"/>
    <col min="8189" max="8189" width="19.140625" style="29" customWidth="1"/>
    <col min="8190" max="8190" width="8.28515625" style="29" bestFit="1" customWidth="1"/>
    <col min="8191" max="8191" width="0" style="29" hidden="1" customWidth="1"/>
    <col min="8192" max="8192" width="16.85546875" style="29" bestFit="1" customWidth="1"/>
    <col min="8193" max="8194" width="14.5703125" style="29" bestFit="1" customWidth="1"/>
    <col min="8195" max="8441" width="11.42578125" style="29"/>
    <col min="8442" max="8442" width="45.28515625" style="29" customWidth="1"/>
    <col min="8443" max="8443" width="11.140625" style="29" customWidth="1"/>
    <col min="8444" max="8444" width="18" style="29" customWidth="1"/>
    <col min="8445" max="8445" width="19.140625" style="29" customWidth="1"/>
    <col min="8446" max="8446" width="8.28515625" style="29" bestFit="1" customWidth="1"/>
    <col min="8447" max="8447" width="0" style="29" hidden="1" customWidth="1"/>
    <col min="8448" max="8448" width="16.85546875" style="29" bestFit="1" customWidth="1"/>
    <col min="8449" max="8450" width="14.5703125" style="29" bestFit="1" customWidth="1"/>
    <col min="8451" max="8697" width="11.42578125" style="29"/>
    <col min="8698" max="8698" width="45.28515625" style="29" customWidth="1"/>
    <col min="8699" max="8699" width="11.140625" style="29" customWidth="1"/>
    <col min="8700" max="8700" width="18" style="29" customWidth="1"/>
    <col min="8701" max="8701" width="19.140625" style="29" customWidth="1"/>
    <col min="8702" max="8702" width="8.28515625" style="29" bestFit="1" customWidth="1"/>
    <col min="8703" max="8703" width="0" style="29" hidden="1" customWidth="1"/>
    <col min="8704" max="8704" width="16.85546875" style="29" bestFit="1" customWidth="1"/>
    <col min="8705" max="8706" width="14.5703125" style="29" bestFit="1" customWidth="1"/>
    <col min="8707" max="8953" width="11.42578125" style="29"/>
    <col min="8954" max="8954" width="45.28515625" style="29" customWidth="1"/>
    <col min="8955" max="8955" width="11.140625" style="29" customWidth="1"/>
    <col min="8956" max="8956" width="18" style="29" customWidth="1"/>
    <col min="8957" max="8957" width="19.140625" style="29" customWidth="1"/>
    <col min="8958" max="8958" width="8.28515625" style="29" bestFit="1" customWidth="1"/>
    <col min="8959" max="8959" width="0" style="29" hidden="1" customWidth="1"/>
    <col min="8960" max="8960" width="16.85546875" style="29" bestFit="1" customWidth="1"/>
    <col min="8961" max="8962" width="14.5703125" style="29" bestFit="1" customWidth="1"/>
    <col min="8963" max="9209" width="11.42578125" style="29"/>
    <col min="9210" max="9210" width="45.28515625" style="29" customWidth="1"/>
    <col min="9211" max="9211" width="11.140625" style="29" customWidth="1"/>
    <col min="9212" max="9212" width="18" style="29" customWidth="1"/>
    <col min="9213" max="9213" width="19.140625" style="29" customWidth="1"/>
    <col min="9214" max="9214" width="8.28515625" style="29" bestFit="1" customWidth="1"/>
    <col min="9215" max="9215" width="0" style="29" hidden="1" customWidth="1"/>
    <col min="9216" max="9216" width="16.85546875" style="29" bestFit="1" customWidth="1"/>
    <col min="9217" max="9218" width="14.5703125" style="29" bestFit="1" customWidth="1"/>
    <col min="9219" max="9465" width="11.42578125" style="29"/>
    <col min="9466" max="9466" width="45.28515625" style="29" customWidth="1"/>
    <col min="9467" max="9467" width="11.140625" style="29" customWidth="1"/>
    <col min="9468" max="9468" width="18" style="29" customWidth="1"/>
    <col min="9469" max="9469" width="19.140625" style="29" customWidth="1"/>
    <col min="9470" max="9470" width="8.28515625" style="29" bestFit="1" customWidth="1"/>
    <col min="9471" max="9471" width="0" style="29" hidden="1" customWidth="1"/>
    <col min="9472" max="9472" width="16.85546875" style="29" bestFit="1" customWidth="1"/>
    <col min="9473" max="9474" width="14.5703125" style="29" bestFit="1" customWidth="1"/>
    <col min="9475" max="9721" width="11.42578125" style="29"/>
    <col min="9722" max="9722" width="45.28515625" style="29" customWidth="1"/>
    <col min="9723" max="9723" width="11.140625" style="29" customWidth="1"/>
    <col min="9724" max="9724" width="18" style="29" customWidth="1"/>
    <col min="9725" max="9725" width="19.140625" style="29" customWidth="1"/>
    <col min="9726" max="9726" width="8.28515625" style="29" bestFit="1" customWidth="1"/>
    <col min="9727" max="9727" width="0" style="29" hidden="1" customWidth="1"/>
    <col min="9728" max="9728" width="16.85546875" style="29" bestFit="1" customWidth="1"/>
    <col min="9729" max="9730" width="14.5703125" style="29" bestFit="1" customWidth="1"/>
    <col min="9731" max="9977" width="11.42578125" style="29"/>
    <col min="9978" max="9978" width="45.28515625" style="29" customWidth="1"/>
    <col min="9979" max="9979" width="11.140625" style="29" customWidth="1"/>
    <col min="9980" max="9980" width="18" style="29" customWidth="1"/>
    <col min="9981" max="9981" width="19.140625" style="29" customWidth="1"/>
    <col min="9982" max="9982" width="8.28515625" style="29" bestFit="1" customWidth="1"/>
    <col min="9983" max="9983" width="0" style="29" hidden="1" customWidth="1"/>
    <col min="9984" max="9984" width="16.85546875" style="29" bestFit="1" customWidth="1"/>
    <col min="9985" max="9986" width="14.5703125" style="29" bestFit="1" customWidth="1"/>
    <col min="9987" max="10233" width="11.42578125" style="29"/>
    <col min="10234" max="10234" width="45.28515625" style="29" customWidth="1"/>
    <col min="10235" max="10235" width="11.140625" style="29" customWidth="1"/>
    <col min="10236" max="10236" width="18" style="29" customWidth="1"/>
    <col min="10237" max="10237" width="19.140625" style="29" customWidth="1"/>
    <col min="10238" max="10238" width="8.28515625" style="29" bestFit="1" customWidth="1"/>
    <col min="10239" max="10239" width="0" style="29" hidden="1" customWidth="1"/>
    <col min="10240" max="10240" width="16.85546875" style="29" bestFit="1" customWidth="1"/>
    <col min="10241" max="10242" width="14.5703125" style="29" bestFit="1" customWidth="1"/>
    <col min="10243" max="10489" width="11.42578125" style="29"/>
    <col min="10490" max="10490" width="45.28515625" style="29" customWidth="1"/>
    <col min="10491" max="10491" width="11.140625" style="29" customWidth="1"/>
    <col min="10492" max="10492" width="18" style="29" customWidth="1"/>
    <col min="10493" max="10493" width="19.140625" style="29" customWidth="1"/>
    <col min="10494" max="10494" width="8.28515625" style="29" bestFit="1" customWidth="1"/>
    <col min="10495" max="10495" width="0" style="29" hidden="1" customWidth="1"/>
    <col min="10496" max="10496" width="16.85546875" style="29" bestFit="1" customWidth="1"/>
    <col min="10497" max="10498" width="14.5703125" style="29" bestFit="1" customWidth="1"/>
    <col min="10499" max="10745" width="11.42578125" style="29"/>
    <col min="10746" max="10746" width="45.28515625" style="29" customWidth="1"/>
    <col min="10747" max="10747" width="11.140625" style="29" customWidth="1"/>
    <col min="10748" max="10748" width="18" style="29" customWidth="1"/>
    <col min="10749" max="10749" width="19.140625" style="29" customWidth="1"/>
    <col min="10750" max="10750" width="8.28515625" style="29" bestFit="1" customWidth="1"/>
    <col min="10751" max="10751" width="0" style="29" hidden="1" customWidth="1"/>
    <col min="10752" max="10752" width="16.85546875" style="29" bestFit="1" customWidth="1"/>
    <col min="10753" max="10754" width="14.5703125" style="29" bestFit="1" customWidth="1"/>
    <col min="10755" max="11001" width="11.42578125" style="29"/>
    <col min="11002" max="11002" width="45.28515625" style="29" customWidth="1"/>
    <col min="11003" max="11003" width="11.140625" style="29" customWidth="1"/>
    <col min="11004" max="11004" width="18" style="29" customWidth="1"/>
    <col min="11005" max="11005" width="19.140625" style="29" customWidth="1"/>
    <col min="11006" max="11006" width="8.28515625" style="29" bestFit="1" customWidth="1"/>
    <col min="11007" max="11007" width="0" style="29" hidden="1" customWidth="1"/>
    <col min="11008" max="11008" width="16.85546875" style="29" bestFit="1" customWidth="1"/>
    <col min="11009" max="11010" width="14.5703125" style="29" bestFit="1" customWidth="1"/>
    <col min="11011" max="11257" width="11.42578125" style="29"/>
    <col min="11258" max="11258" width="45.28515625" style="29" customWidth="1"/>
    <col min="11259" max="11259" width="11.140625" style="29" customWidth="1"/>
    <col min="11260" max="11260" width="18" style="29" customWidth="1"/>
    <col min="11261" max="11261" width="19.140625" style="29" customWidth="1"/>
    <col min="11262" max="11262" width="8.28515625" style="29" bestFit="1" customWidth="1"/>
    <col min="11263" max="11263" width="0" style="29" hidden="1" customWidth="1"/>
    <col min="11264" max="11264" width="16.85546875" style="29" bestFit="1" customWidth="1"/>
    <col min="11265" max="11266" width="14.5703125" style="29" bestFit="1" customWidth="1"/>
    <col min="11267" max="11513" width="11.42578125" style="29"/>
    <col min="11514" max="11514" width="45.28515625" style="29" customWidth="1"/>
    <col min="11515" max="11515" width="11.140625" style="29" customWidth="1"/>
    <col min="11516" max="11516" width="18" style="29" customWidth="1"/>
    <col min="11517" max="11517" width="19.140625" style="29" customWidth="1"/>
    <col min="11518" max="11518" width="8.28515625" style="29" bestFit="1" customWidth="1"/>
    <col min="11519" max="11519" width="0" style="29" hidden="1" customWidth="1"/>
    <col min="11520" max="11520" width="16.85546875" style="29" bestFit="1" customWidth="1"/>
    <col min="11521" max="11522" width="14.5703125" style="29" bestFit="1" customWidth="1"/>
    <col min="11523" max="11769" width="11.42578125" style="29"/>
    <col min="11770" max="11770" width="45.28515625" style="29" customWidth="1"/>
    <col min="11771" max="11771" width="11.140625" style="29" customWidth="1"/>
    <col min="11772" max="11772" width="18" style="29" customWidth="1"/>
    <col min="11773" max="11773" width="19.140625" style="29" customWidth="1"/>
    <col min="11774" max="11774" width="8.28515625" style="29" bestFit="1" customWidth="1"/>
    <col min="11775" max="11775" width="0" style="29" hidden="1" customWidth="1"/>
    <col min="11776" max="11776" width="16.85546875" style="29" bestFit="1" customWidth="1"/>
    <col min="11777" max="11778" width="14.5703125" style="29" bestFit="1" customWidth="1"/>
    <col min="11779" max="12025" width="11.42578125" style="29"/>
    <col min="12026" max="12026" width="45.28515625" style="29" customWidth="1"/>
    <col min="12027" max="12027" width="11.140625" style="29" customWidth="1"/>
    <col min="12028" max="12028" width="18" style="29" customWidth="1"/>
    <col min="12029" max="12029" width="19.140625" style="29" customWidth="1"/>
    <col min="12030" max="12030" width="8.28515625" style="29" bestFit="1" customWidth="1"/>
    <col min="12031" max="12031" width="0" style="29" hidden="1" customWidth="1"/>
    <col min="12032" max="12032" width="16.85546875" style="29" bestFit="1" customWidth="1"/>
    <col min="12033" max="12034" width="14.5703125" style="29" bestFit="1" customWidth="1"/>
    <col min="12035" max="12281" width="11.42578125" style="29"/>
    <col min="12282" max="12282" width="45.28515625" style="29" customWidth="1"/>
    <col min="12283" max="12283" width="11.140625" style="29" customWidth="1"/>
    <col min="12284" max="12284" width="18" style="29" customWidth="1"/>
    <col min="12285" max="12285" width="19.140625" style="29" customWidth="1"/>
    <col min="12286" max="12286" width="8.28515625" style="29" bestFit="1" customWidth="1"/>
    <col min="12287" max="12287" width="0" style="29" hidden="1" customWidth="1"/>
    <col min="12288" max="12288" width="16.85546875" style="29" bestFit="1" customWidth="1"/>
    <col min="12289" max="12290" width="14.5703125" style="29" bestFit="1" customWidth="1"/>
    <col min="12291" max="12537" width="11.42578125" style="29"/>
    <col min="12538" max="12538" width="45.28515625" style="29" customWidth="1"/>
    <col min="12539" max="12539" width="11.140625" style="29" customWidth="1"/>
    <col min="12540" max="12540" width="18" style="29" customWidth="1"/>
    <col min="12541" max="12541" width="19.140625" style="29" customWidth="1"/>
    <col min="12542" max="12542" width="8.28515625" style="29" bestFit="1" customWidth="1"/>
    <col min="12543" max="12543" width="0" style="29" hidden="1" customWidth="1"/>
    <col min="12544" max="12544" width="16.85546875" style="29" bestFit="1" customWidth="1"/>
    <col min="12545" max="12546" width="14.5703125" style="29" bestFit="1" customWidth="1"/>
    <col min="12547" max="12793" width="11.42578125" style="29"/>
    <col min="12794" max="12794" width="45.28515625" style="29" customWidth="1"/>
    <col min="12795" max="12795" width="11.140625" style="29" customWidth="1"/>
    <col min="12796" max="12796" width="18" style="29" customWidth="1"/>
    <col min="12797" max="12797" width="19.140625" style="29" customWidth="1"/>
    <col min="12798" max="12798" width="8.28515625" style="29" bestFit="1" customWidth="1"/>
    <col min="12799" max="12799" width="0" style="29" hidden="1" customWidth="1"/>
    <col min="12800" max="12800" width="16.85546875" style="29" bestFit="1" customWidth="1"/>
    <col min="12801" max="12802" width="14.5703125" style="29" bestFit="1" customWidth="1"/>
    <col min="12803" max="13049" width="11.42578125" style="29"/>
    <col min="13050" max="13050" width="45.28515625" style="29" customWidth="1"/>
    <col min="13051" max="13051" width="11.140625" style="29" customWidth="1"/>
    <col min="13052" max="13052" width="18" style="29" customWidth="1"/>
    <col min="13053" max="13053" width="19.140625" style="29" customWidth="1"/>
    <col min="13054" max="13054" width="8.28515625" style="29" bestFit="1" customWidth="1"/>
    <col min="13055" max="13055" width="0" style="29" hidden="1" customWidth="1"/>
    <col min="13056" max="13056" width="16.85546875" style="29" bestFit="1" customWidth="1"/>
    <col min="13057" max="13058" width="14.5703125" style="29" bestFit="1" customWidth="1"/>
    <col min="13059" max="13305" width="11.42578125" style="29"/>
    <col min="13306" max="13306" width="45.28515625" style="29" customWidth="1"/>
    <col min="13307" max="13307" width="11.140625" style="29" customWidth="1"/>
    <col min="13308" max="13308" width="18" style="29" customWidth="1"/>
    <col min="13309" max="13309" width="19.140625" style="29" customWidth="1"/>
    <col min="13310" max="13310" width="8.28515625" style="29" bestFit="1" customWidth="1"/>
    <col min="13311" max="13311" width="0" style="29" hidden="1" customWidth="1"/>
    <col min="13312" max="13312" width="16.85546875" style="29" bestFit="1" customWidth="1"/>
    <col min="13313" max="13314" width="14.5703125" style="29" bestFit="1" customWidth="1"/>
    <col min="13315" max="13561" width="11.42578125" style="29"/>
    <col min="13562" max="13562" width="45.28515625" style="29" customWidth="1"/>
    <col min="13563" max="13563" width="11.140625" style="29" customWidth="1"/>
    <col min="13564" max="13564" width="18" style="29" customWidth="1"/>
    <col min="13565" max="13565" width="19.140625" style="29" customWidth="1"/>
    <col min="13566" max="13566" width="8.28515625" style="29" bestFit="1" customWidth="1"/>
    <col min="13567" max="13567" width="0" style="29" hidden="1" customWidth="1"/>
    <col min="13568" max="13568" width="16.85546875" style="29" bestFit="1" customWidth="1"/>
    <col min="13569" max="13570" width="14.5703125" style="29" bestFit="1" customWidth="1"/>
    <col min="13571" max="13817" width="11.42578125" style="29"/>
    <col min="13818" max="13818" width="45.28515625" style="29" customWidth="1"/>
    <col min="13819" max="13819" width="11.140625" style="29" customWidth="1"/>
    <col min="13820" max="13820" width="18" style="29" customWidth="1"/>
    <col min="13821" max="13821" width="19.140625" style="29" customWidth="1"/>
    <col min="13822" max="13822" width="8.28515625" style="29" bestFit="1" customWidth="1"/>
    <col min="13823" max="13823" width="0" style="29" hidden="1" customWidth="1"/>
    <col min="13824" max="13824" width="16.85546875" style="29" bestFit="1" customWidth="1"/>
    <col min="13825" max="13826" width="14.5703125" style="29" bestFit="1" customWidth="1"/>
    <col min="13827" max="14073" width="11.42578125" style="29"/>
    <col min="14074" max="14074" width="45.28515625" style="29" customWidth="1"/>
    <col min="14075" max="14075" width="11.140625" style="29" customWidth="1"/>
    <col min="14076" max="14076" width="18" style="29" customWidth="1"/>
    <col min="14077" max="14077" width="19.140625" style="29" customWidth="1"/>
    <col min="14078" max="14078" width="8.28515625" style="29" bestFit="1" customWidth="1"/>
    <col min="14079" max="14079" width="0" style="29" hidden="1" customWidth="1"/>
    <col min="14080" max="14080" width="16.85546875" style="29" bestFit="1" customWidth="1"/>
    <col min="14081" max="14082" width="14.5703125" style="29" bestFit="1" customWidth="1"/>
    <col min="14083" max="14329" width="11.42578125" style="29"/>
    <col min="14330" max="14330" width="45.28515625" style="29" customWidth="1"/>
    <col min="14331" max="14331" width="11.140625" style="29" customWidth="1"/>
    <col min="14332" max="14332" width="18" style="29" customWidth="1"/>
    <col min="14333" max="14333" width="19.140625" style="29" customWidth="1"/>
    <col min="14334" max="14334" width="8.28515625" style="29" bestFit="1" customWidth="1"/>
    <col min="14335" max="14335" width="0" style="29" hidden="1" customWidth="1"/>
    <col min="14336" max="14336" width="16.85546875" style="29" bestFit="1" customWidth="1"/>
    <col min="14337" max="14338" width="14.5703125" style="29" bestFit="1" customWidth="1"/>
    <col min="14339" max="14585" width="11.42578125" style="29"/>
    <col min="14586" max="14586" width="45.28515625" style="29" customWidth="1"/>
    <col min="14587" max="14587" width="11.140625" style="29" customWidth="1"/>
    <col min="14588" max="14588" width="18" style="29" customWidth="1"/>
    <col min="14589" max="14589" width="19.140625" style="29" customWidth="1"/>
    <col min="14590" max="14590" width="8.28515625" style="29" bestFit="1" customWidth="1"/>
    <col min="14591" max="14591" width="0" style="29" hidden="1" customWidth="1"/>
    <col min="14592" max="14592" width="16.85546875" style="29" bestFit="1" customWidth="1"/>
    <col min="14593" max="14594" width="14.5703125" style="29" bestFit="1" customWidth="1"/>
    <col min="14595" max="14841" width="11.42578125" style="29"/>
    <col min="14842" max="14842" width="45.28515625" style="29" customWidth="1"/>
    <col min="14843" max="14843" width="11.140625" style="29" customWidth="1"/>
    <col min="14844" max="14844" width="18" style="29" customWidth="1"/>
    <col min="14845" max="14845" width="19.140625" style="29" customWidth="1"/>
    <col min="14846" max="14846" width="8.28515625" style="29" bestFit="1" customWidth="1"/>
    <col min="14847" max="14847" width="0" style="29" hidden="1" customWidth="1"/>
    <col min="14848" max="14848" width="16.85546875" style="29" bestFit="1" customWidth="1"/>
    <col min="14849" max="14850" width="14.5703125" style="29" bestFit="1" customWidth="1"/>
    <col min="14851" max="15097" width="11.42578125" style="29"/>
    <col min="15098" max="15098" width="45.28515625" style="29" customWidth="1"/>
    <col min="15099" max="15099" width="11.140625" style="29" customWidth="1"/>
    <col min="15100" max="15100" width="18" style="29" customWidth="1"/>
    <col min="15101" max="15101" width="19.140625" style="29" customWidth="1"/>
    <col min="15102" max="15102" width="8.28515625" style="29" bestFit="1" customWidth="1"/>
    <col min="15103" max="15103" width="0" style="29" hidden="1" customWidth="1"/>
    <col min="15104" max="15104" width="16.85546875" style="29" bestFit="1" customWidth="1"/>
    <col min="15105" max="15106" width="14.5703125" style="29" bestFit="1" customWidth="1"/>
    <col min="15107" max="15353" width="11.42578125" style="29"/>
    <col min="15354" max="15354" width="45.28515625" style="29" customWidth="1"/>
    <col min="15355" max="15355" width="11.140625" style="29" customWidth="1"/>
    <col min="15356" max="15356" width="18" style="29" customWidth="1"/>
    <col min="15357" max="15357" width="19.140625" style="29" customWidth="1"/>
    <col min="15358" max="15358" width="8.28515625" style="29" bestFit="1" customWidth="1"/>
    <col min="15359" max="15359" width="0" style="29" hidden="1" customWidth="1"/>
    <col min="15360" max="15360" width="16.85546875" style="29" bestFit="1" customWidth="1"/>
    <col min="15361" max="15362" width="14.5703125" style="29" bestFit="1" customWidth="1"/>
    <col min="15363" max="15609" width="11.42578125" style="29"/>
    <col min="15610" max="15610" width="45.28515625" style="29" customWidth="1"/>
    <col min="15611" max="15611" width="11.140625" style="29" customWidth="1"/>
    <col min="15612" max="15612" width="18" style="29" customWidth="1"/>
    <col min="15613" max="15613" width="19.140625" style="29" customWidth="1"/>
    <col min="15614" max="15614" width="8.28515625" style="29" bestFit="1" customWidth="1"/>
    <col min="15615" max="15615" width="0" style="29" hidden="1" customWidth="1"/>
    <col min="15616" max="15616" width="16.85546875" style="29" bestFit="1" customWidth="1"/>
    <col min="15617" max="15618" width="14.5703125" style="29" bestFit="1" customWidth="1"/>
    <col min="15619" max="15865" width="11.42578125" style="29"/>
    <col min="15866" max="15866" width="45.28515625" style="29" customWidth="1"/>
    <col min="15867" max="15867" width="11.140625" style="29" customWidth="1"/>
    <col min="15868" max="15868" width="18" style="29" customWidth="1"/>
    <col min="15869" max="15869" width="19.140625" style="29" customWidth="1"/>
    <col min="15870" max="15870" width="8.28515625" style="29" bestFit="1" customWidth="1"/>
    <col min="15871" max="15871" width="0" style="29" hidden="1" customWidth="1"/>
    <col min="15872" max="15872" width="16.85546875" style="29" bestFit="1" customWidth="1"/>
    <col min="15873" max="15874" width="14.5703125" style="29" bestFit="1" customWidth="1"/>
    <col min="15875" max="16121" width="11.42578125" style="29"/>
    <col min="16122" max="16122" width="45.28515625" style="29" customWidth="1"/>
    <col min="16123" max="16123" width="11.140625" style="29" customWidth="1"/>
    <col min="16124" max="16124" width="18" style="29" customWidth="1"/>
    <col min="16125" max="16125" width="19.140625" style="29" customWidth="1"/>
    <col min="16126" max="16126" width="8.28515625" style="29" bestFit="1" customWidth="1"/>
    <col min="16127" max="16127" width="0" style="29" hidden="1" customWidth="1"/>
    <col min="16128" max="16128" width="16.85546875" style="29" bestFit="1" customWidth="1"/>
    <col min="16129" max="16130" width="14.5703125" style="29" bestFit="1" customWidth="1"/>
    <col min="16131" max="16384" width="11.42578125" style="29"/>
  </cols>
  <sheetData>
    <row r="1" spans="1:7" hidden="1" x14ac:dyDescent="0.2"/>
    <row r="2" spans="1:7" hidden="1" x14ac:dyDescent="0.2"/>
    <row r="3" spans="1:7" hidden="1" x14ac:dyDescent="0.2"/>
    <row r="4" spans="1:7" hidden="1" x14ac:dyDescent="0.2"/>
    <row r="5" spans="1:7" hidden="1" x14ac:dyDescent="0.2"/>
    <row r="6" spans="1:7" hidden="1" x14ac:dyDescent="0.2"/>
    <row r="7" spans="1:7" hidden="1" x14ac:dyDescent="0.2"/>
    <row r="8" spans="1:7" x14ac:dyDescent="0.2">
      <c r="A8" s="461"/>
      <c r="B8" s="461"/>
    </row>
    <row r="9" spans="1:7" x14ac:dyDescent="0.2">
      <c r="A9" s="461"/>
      <c r="B9" s="461"/>
    </row>
    <row r="10" spans="1:7" x14ac:dyDescent="0.2">
      <c r="A10" s="30"/>
    </row>
    <row r="11" spans="1:7" x14ac:dyDescent="0.2">
      <c r="A11" s="461"/>
      <c r="B11" s="461"/>
    </row>
    <row r="12" spans="1:7" x14ac:dyDescent="0.2">
      <c r="A12" s="32"/>
    </row>
    <row r="13" spans="1:7" ht="14.25" customHeight="1" x14ac:dyDescent="0.2">
      <c r="A13" s="462" t="s">
        <v>1638</v>
      </c>
      <c r="B13" s="462"/>
      <c r="C13" s="462"/>
      <c r="D13" s="462"/>
      <c r="E13" s="462"/>
      <c r="F13" s="462"/>
      <c r="G13" s="462"/>
    </row>
    <row r="14" spans="1:7" ht="14.25" customHeight="1" x14ac:dyDescent="0.2">
      <c r="A14" s="462" t="s">
        <v>1927</v>
      </c>
      <c r="B14" s="462"/>
      <c r="C14" s="462"/>
      <c r="D14" s="462"/>
      <c r="E14" s="462"/>
      <c r="F14" s="462"/>
      <c r="G14" s="462"/>
    </row>
    <row r="15" spans="1:7" ht="15" x14ac:dyDescent="0.25">
      <c r="A15" s="459" t="s">
        <v>1639</v>
      </c>
      <c r="B15" s="459"/>
      <c r="C15" s="459"/>
      <c r="D15" s="459"/>
      <c r="E15" s="459"/>
      <c r="F15" s="459"/>
      <c r="G15" s="459"/>
    </row>
    <row r="16" spans="1:7" x14ac:dyDescent="0.2">
      <c r="A16" s="30"/>
    </row>
    <row r="17" spans="1:8" ht="15" x14ac:dyDescent="0.25">
      <c r="A17" s="460" t="s">
        <v>1640</v>
      </c>
      <c r="B17" s="460"/>
      <c r="C17" s="460"/>
      <c r="D17" s="460"/>
      <c r="E17" s="460"/>
      <c r="F17" s="460"/>
      <c r="G17" s="460"/>
    </row>
    <row r="18" spans="1:8" ht="15" hidden="1" customHeight="1" x14ac:dyDescent="0.25">
      <c r="A18" s="34"/>
      <c r="B18" s="35"/>
    </row>
    <row r="19" spans="1:8" x14ac:dyDescent="0.2">
      <c r="D19" s="36"/>
    </row>
    <row r="20" spans="1:8" ht="15" x14ac:dyDescent="0.25">
      <c r="A20" s="37"/>
      <c r="D20" s="38"/>
      <c r="E20" s="108">
        <v>44926</v>
      </c>
      <c r="G20" s="108">
        <v>44561</v>
      </c>
    </row>
    <row r="21" spans="1:8" ht="14.25" hidden="1" customHeight="1" x14ac:dyDescent="0.2">
      <c r="D21" s="38"/>
      <c r="E21" s="106"/>
      <c r="G21" s="197"/>
    </row>
    <row r="22" spans="1:8" x14ac:dyDescent="0.2">
      <c r="E22" s="109"/>
      <c r="G22" s="109"/>
    </row>
    <row r="23" spans="1:8" ht="15" x14ac:dyDescent="0.25">
      <c r="A23" s="39" t="s">
        <v>63</v>
      </c>
      <c r="B23" s="40"/>
      <c r="D23" s="41"/>
      <c r="E23" s="422">
        <f>E25+E31+E40+E42+E44</f>
        <v>49341.117960000003</v>
      </c>
      <c r="F23" s="431"/>
      <c r="G23" s="422">
        <f>G25+G31+G42+G44+G40</f>
        <v>33465.680009999996</v>
      </c>
      <c r="H23" s="193"/>
    </row>
    <row r="24" spans="1:8" ht="15" x14ac:dyDescent="0.25">
      <c r="A24" s="39"/>
      <c r="B24" s="35"/>
      <c r="D24" s="41"/>
      <c r="E24" s="432"/>
      <c r="F24" s="431"/>
      <c r="G24" s="433"/>
      <c r="H24" s="193"/>
    </row>
    <row r="25" spans="1:8" ht="15" x14ac:dyDescent="0.2">
      <c r="A25" s="29" t="s">
        <v>1641</v>
      </c>
      <c r="B25" s="449" t="s">
        <v>1642</v>
      </c>
      <c r="D25" s="41"/>
      <c r="E25" s="422">
        <f>SUM(E27:E29)</f>
        <v>39444.748189999998</v>
      </c>
      <c r="F25" s="431"/>
      <c r="G25" s="422">
        <f>SUM(G27:G29)</f>
        <v>25598.96284</v>
      </c>
      <c r="H25" s="193"/>
    </row>
    <row r="26" spans="1:8" ht="15" x14ac:dyDescent="0.2">
      <c r="B26" s="449"/>
      <c r="D26" s="41"/>
      <c r="E26" s="434"/>
      <c r="F26" s="431"/>
      <c r="G26" s="435"/>
      <c r="H26" s="193"/>
    </row>
    <row r="27" spans="1:8" x14ac:dyDescent="0.2">
      <c r="A27" s="29" t="s">
        <v>1643</v>
      </c>
      <c r="B27" s="450"/>
      <c r="D27" s="42" t="s">
        <v>1644</v>
      </c>
      <c r="E27" s="436">
        <v>186</v>
      </c>
      <c r="F27" s="431"/>
      <c r="G27" s="437">
        <f>([1]Página1!$E$9+[1]Página1!$E$12+[1]Página1!$E$17+[1]Página1!$E$22+[1]Página1!$E$25)/1000</f>
        <v>302.77118000000002</v>
      </c>
      <c r="H27" s="193"/>
    </row>
    <row r="28" spans="1:8" ht="15" x14ac:dyDescent="0.2">
      <c r="A28" s="29" t="s">
        <v>1645</v>
      </c>
      <c r="B28" s="449"/>
      <c r="D28" s="41" t="s">
        <v>1425</v>
      </c>
      <c r="E28" s="436">
        <f>39258748.19/1000</f>
        <v>39258.748189999998</v>
      </c>
      <c r="F28" s="431"/>
      <c r="G28" s="437">
        <f>[1]Página1!$E$29/1000</f>
        <v>25296.19166</v>
      </c>
      <c r="H28" s="193"/>
    </row>
    <row r="29" spans="1:8" ht="15" hidden="1" customHeight="1" x14ac:dyDescent="0.2">
      <c r="A29" s="29" t="s">
        <v>1646</v>
      </c>
      <c r="B29" s="449"/>
      <c r="D29" s="41" t="s">
        <v>1647</v>
      </c>
      <c r="E29" s="436">
        <v>0</v>
      </c>
      <c r="F29" s="431"/>
      <c r="G29" s="437">
        <v>0</v>
      </c>
      <c r="H29" s="193"/>
    </row>
    <row r="30" spans="1:8" ht="15" x14ac:dyDescent="0.2">
      <c r="B30" s="449"/>
      <c r="E30" s="434"/>
      <c r="F30" s="431"/>
      <c r="G30" s="435"/>
      <c r="H30" s="193"/>
    </row>
    <row r="31" spans="1:8" ht="15" x14ac:dyDescent="0.2">
      <c r="A31" s="29" t="s">
        <v>1648</v>
      </c>
      <c r="B31" s="449"/>
      <c r="D31" s="41"/>
      <c r="E31" s="422">
        <f>E34+E35+E36+E37</f>
        <v>7807.8510000000015</v>
      </c>
      <c r="F31" s="431"/>
      <c r="G31" s="422">
        <f>SUM(G33:G38)</f>
        <v>5457.9251599999989</v>
      </c>
      <c r="H31" s="193"/>
    </row>
    <row r="32" spans="1:8" ht="15" x14ac:dyDescent="0.2">
      <c r="B32" s="449"/>
      <c r="D32" s="41"/>
      <c r="E32" s="434"/>
      <c r="F32" s="431"/>
      <c r="G32" s="435"/>
      <c r="H32" s="193"/>
    </row>
    <row r="33" spans="1:8" ht="8.25" hidden="1" customHeight="1" x14ac:dyDescent="0.2">
      <c r="A33" s="29" t="s">
        <v>1649</v>
      </c>
      <c r="B33" s="449"/>
      <c r="E33" s="434"/>
      <c r="F33" s="431"/>
      <c r="G33" s="435"/>
      <c r="H33" s="193"/>
    </row>
    <row r="34" spans="1:8" ht="15" x14ac:dyDescent="0.2">
      <c r="A34" s="29" t="s">
        <v>1650</v>
      </c>
      <c r="B34" s="449" t="s">
        <v>1651</v>
      </c>
      <c r="D34" s="42"/>
      <c r="E34" s="436">
        <f>(8622726.63-1694934.26)/1000</f>
        <v>6927.792370000001</v>
      </c>
      <c r="F34" s="431"/>
      <c r="G34" s="437">
        <f>([1]Página1!$E$36-[1]Página1!$E$44)/1000</f>
        <v>4710.6341299999995</v>
      </c>
      <c r="H34" s="193"/>
    </row>
    <row r="35" spans="1:8" ht="15" x14ac:dyDescent="0.2">
      <c r="A35" s="29" t="s">
        <v>1652</v>
      </c>
      <c r="B35" s="449"/>
      <c r="C35" s="43"/>
      <c r="D35" s="41"/>
      <c r="E35" s="436">
        <f>20454.99/1000</f>
        <v>20.454990000000002</v>
      </c>
      <c r="F35" s="431"/>
      <c r="G35" s="437">
        <f>[1]Página1!$E$47/1000</f>
        <v>37.400239999999997</v>
      </c>
      <c r="H35" s="193"/>
    </row>
    <row r="36" spans="1:8" ht="15" x14ac:dyDescent="0.2">
      <c r="A36" s="29" t="s">
        <v>1653</v>
      </c>
      <c r="B36" s="449" t="s">
        <v>1655</v>
      </c>
      <c r="D36" s="41"/>
      <c r="E36" s="436">
        <f>518937.02/1000</f>
        <v>518.93702000000008</v>
      </c>
      <c r="F36" s="431"/>
      <c r="G36" s="437">
        <f>[1]Página1!$E$54/1000</f>
        <v>369.22416999999996</v>
      </c>
      <c r="H36" s="193"/>
    </row>
    <row r="37" spans="1:8" ht="15" x14ac:dyDescent="0.2">
      <c r="A37" s="29" t="s">
        <v>1654</v>
      </c>
      <c r="B37" s="449" t="s">
        <v>1657</v>
      </c>
      <c r="D37" s="41"/>
      <c r="E37" s="436">
        <f>340666.62/1000</f>
        <v>340.66662000000002</v>
      </c>
      <c r="F37" s="431"/>
      <c r="G37" s="437">
        <f>[1]Página1!$E$51/1000</f>
        <v>340.66662000000002</v>
      </c>
      <c r="H37" s="193"/>
    </row>
    <row r="38" spans="1:8" ht="15" hidden="1" x14ac:dyDescent="0.2">
      <c r="A38" s="29" t="s">
        <v>1656</v>
      </c>
      <c r="B38" s="449" t="s">
        <v>1657</v>
      </c>
      <c r="D38" s="41" t="s">
        <v>1426</v>
      </c>
      <c r="E38" s="436"/>
      <c r="F38" s="431"/>
      <c r="G38" s="437"/>
      <c r="H38" s="193"/>
    </row>
    <row r="39" spans="1:8" ht="15" x14ac:dyDescent="0.2">
      <c r="B39" s="449"/>
      <c r="D39" s="41"/>
      <c r="E39" s="436"/>
      <c r="F39" s="431"/>
      <c r="G39" s="437"/>
      <c r="H39" s="193"/>
    </row>
    <row r="40" spans="1:8" ht="15" x14ac:dyDescent="0.2">
      <c r="A40" s="29" t="s">
        <v>1658</v>
      </c>
      <c r="B40" s="449" t="s">
        <v>1659</v>
      </c>
      <c r="D40" s="41" t="s">
        <v>1427</v>
      </c>
      <c r="E40" s="436">
        <f>1906069.27/1000</f>
        <v>1906.06927</v>
      </c>
      <c r="F40" s="431"/>
      <c r="G40" s="437">
        <f>[1]Página1!$E$66/1000</f>
        <v>2239.7264500000001</v>
      </c>
      <c r="H40" s="193"/>
    </row>
    <row r="41" spans="1:8" ht="15" x14ac:dyDescent="0.2">
      <c r="B41" s="449"/>
      <c r="D41" s="41"/>
      <c r="E41" s="438"/>
      <c r="F41" s="431"/>
      <c r="G41" s="439"/>
      <c r="H41" s="193"/>
    </row>
    <row r="42" spans="1:8" ht="15" x14ac:dyDescent="0.2">
      <c r="A42" s="29" t="s">
        <v>1660</v>
      </c>
      <c r="B42" s="449"/>
      <c r="D42" s="41"/>
      <c r="E42" s="436">
        <v>50</v>
      </c>
      <c r="F42" s="431"/>
      <c r="G42" s="437">
        <f>[1]Página1!$E$87/1000</f>
        <v>56.85989</v>
      </c>
      <c r="H42" s="193"/>
    </row>
    <row r="43" spans="1:8" ht="15" x14ac:dyDescent="0.2">
      <c r="B43" s="449"/>
      <c r="D43" s="41"/>
      <c r="E43" s="436"/>
      <c r="F43" s="431"/>
      <c r="G43" s="437"/>
      <c r="H43" s="193"/>
    </row>
    <row r="44" spans="1:8" ht="15" x14ac:dyDescent="0.2">
      <c r="A44" s="29" t="s">
        <v>1661</v>
      </c>
      <c r="B44" s="449"/>
      <c r="D44" s="42" t="s">
        <v>1428</v>
      </c>
      <c r="E44" s="436">
        <f>132449.5/1000</f>
        <v>132.4495</v>
      </c>
      <c r="F44" s="431"/>
      <c r="G44" s="437">
        <f>[1]Página1!$E$102/1000</f>
        <v>112.20567</v>
      </c>
      <c r="H44" s="193"/>
    </row>
    <row r="45" spans="1:8" x14ac:dyDescent="0.2">
      <c r="B45" s="450"/>
      <c r="D45" s="41"/>
      <c r="E45" s="438"/>
      <c r="F45" s="431"/>
      <c r="G45" s="439"/>
      <c r="H45" s="193"/>
    </row>
    <row r="46" spans="1:8" x14ac:dyDescent="0.2">
      <c r="B46" s="450"/>
      <c r="C46" s="44"/>
      <c r="D46" s="42" t="s">
        <v>1429</v>
      </c>
      <c r="E46" s="438"/>
      <c r="F46" s="431"/>
      <c r="G46" s="439"/>
      <c r="H46" s="193"/>
    </row>
    <row r="47" spans="1:8" ht="15" x14ac:dyDescent="0.25">
      <c r="A47" s="39" t="s">
        <v>209</v>
      </c>
      <c r="B47" s="451"/>
      <c r="D47" s="41"/>
      <c r="E47" s="422">
        <f>E49+E56+E58+E60</f>
        <v>360380.25261000003</v>
      </c>
      <c r="F47" s="431"/>
      <c r="G47" s="422">
        <f>G49+G56+G58+G60</f>
        <v>287606.45133999997</v>
      </c>
      <c r="H47" s="193"/>
    </row>
    <row r="48" spans="1:8" ht="15" x14ac:dyDescent="0.2">
      <c r="B48" s="449"/>
      <c r="D48" s="42" t="s">
        <v>1430</v>
      </c>
      <c r="E48" s="434"/>
      <c r="F48" s="431"/>
      <c r="G48" s="435"/>
      <c r="H48" s="193"/>
    </row>
    <row r="49" spans="1:8" ht="15" x14ac:dyDescent="0.2">
      <c r="A49" s="29" t="s">
        <v>1662</v>
      </c>
      <c r="B49" s="449" t="s">
        <v>1883</v>
      </c>
      <c r="D49" s="41"/>
      <c r="E49" s="422">
        <f>SUM(E51:E54)</f>
        <v>88788</v>
      </c>
      <c r="F49" s="431"/>
      <c r="G49" s="422">
        <f>SUM(G51:G54)</f>
        <v>7865.1623899999995</v>
      </c>
      <c r="H49" s="193"/>
    </row>
    <row r="50" spans="1:8" ht="15" x14ac:dyDescent="0.2">
      <c r="B50" s="449"/>
      <c r="D50" s="41"/>
      <c r="E50" s="436"/>
      <c r="F50" s="431"/>
      <c r="G50" s="437"/>
      <c r="H50" s="193"/>
    </row>
    <row r="51" spans="1:8" ht="15" x14ac:dyDescent="0.2">
      <c r="A51" s="29" t="s">
        <v>1663</v>
      </c>
      <c r="B51" s="449" t="s">
        <v>1884</v>
      </c>
      <c r="D51" s="41"/>
      <c r="E51" s="436">
        <v>920</v>
      </c>
      <c r="F51" s="431"/>
      <c r="G51" s="437">
        <f>[1]Página1!$E$113/1000</f>
        <v>788.58113000000003</v>
      </c>
      <c r="H51" s="193"/>
    </row>
    <row r="52" spans="1:8" ht="15" hidden="1" x14ac:dyDescent="0.2">
      <c r="A52" s="29" t="s">
        <v>1650</v>
      </c>
      <c r="B52" s="449" t="s">
        <v>1879</v>
      </c>
      <c r="D52" s="41"/>
      <c r="E52" s="436"/>
      <c r="F52" s="431"/>
      <c r="G52" s="437"/>
      <c r="H52" s="193"/>
    </row>
    <row r="53" spans="1:8" ht="15" x14ac:dyDescent="0.2">
      <c r="A53" s="29" t="s">
        <v>1650</v>
      </c>
      <c r="B53" s="449" t="s">
        <v>1885</v>
      </c>
      <c r="D53" s="41"/>
      <c r="E53" s="436">
        <v>1457</v>
      </c>
      <c r="F53" s="431"/>
      <c r="G53" s="437">
        <f>[1]Página1!$E$153/1000</f>
        <v>707.02242000000001</v>
      </c>
      <c r="H53" s="193"/>
    </row>
    <row r="54" spans="1:8" ht="15" x14ac:dyDescent="0.2">
      <c r="A54" s="29" t="s">
        <v>1924</v>
      </c>
      <c r="B54" s="448" t="s">
        <v>1886</v>
      </c>
      <c r="D54" s="41"/>
      <c r="E54" s="436">
        <v>86411</v>
      </c>
      <c r="F54" s="431"/>
      <c r="G54" s="437">
        <f>[1]Página1!$E$157/1000</f>
        <v>6369.5588399999997</v>
      </c>
      <c r="H54" s="193"/>
    </row>
    <row r="55" spans="1:8" ht="15" x14ac:dyDescent="0.25">
      <c r="A55" s="39"/>
      <c r="B55" s="451"/>
      <c r="D55" s="41"/>
      <c r="E55" s="432"/>
      <c r="F55" s="431"/>
      <c r="G55" s="433"/>
      <c r="H55" s="193"/>
    </row>
    <row r="56" spans="1:8" ht="15" customHeight="1" x14ac:dyDescent="0.25">
      <c r="A56" s="29" t="s">
        <v>1664</v>
      </c>
      <c r="B56" s="449" t="s">
        <v>1665</v>
      </c>
      <c r="D56" s="41"/>
      <c r="E56" s="422">
        <v>27</v>
      </c>
      <c r="F56" s="431"/>
      <c r="G56" s="422">
        <f>[1]Página1!$E$160/1000</f>
        <v>31.900099999999998</v>
      </c>
      <c r="H56" s="193"/>
    </row>
    <row r="57" spans="1:8" ht="15" customHeight="1" x14ac:dyDescent="0.2">
      <c r="B57" s="449"/>
      <c r="D57" s="41"/>
      <c r="E57" s="434"/>
      <c r="F57" s="431"/>
      <c r="G57" s="435"/>
      <c r="H57" s="193"/>
    </row>
    <row r="58" spans="1:8" ht="15" x14ac:dyDescent="0.2">
      <c r="A58" s="29" t="s">
        <v>1666</v>
      </c>
      <c r="B58" s="449" t="s">
        <v>1667</v>
      </c>
      <c r="D58" s="42" t="s">
        <v>1431</v>
      </c>
      <c r="E58" s="422">
        <f>271214924.49/1000</f>
        <v>271214.92449</v>
      </c>
      <c r="F58" s="431"/>
      <c r="G58" s="422">
        <f>[1]Página1!$E$165/1000</f>
        <v>279156.27970999997</v>
      </c>
      <c r="H58" s="193"/>
    </row>
    <row r="59" spans="1:8" ht="15" x14ac:dyDescent="0.2">
      <c r="B59" s="449"/>
      <c r="D59" s="41"/>
      <c r="E59" s="434"/>
      <c r="F59" s="431"/>
      <c r="G59" s="435"/>
      <c r="H59" s="193"/>
    </row>
    <row r="60" spans="1:8" ht="15" x14ac:dyDescent="0.2">
      <c r="A60" s="29" t="s">
        <v>1668</v>
      </c>
      <c r="B60" s="449" t="s">
        <v>1669</v>
      </c>
      <c r="D60" s="42" t="s">
        <v>1432</v>
      </c>
      <c r="E60" s="422">
        <f>350328.12/1000</f>
        <v>350.32812000000001</v>
      </c>
      <c r="F60" s="431"/>
      <c r="G60" s="422">
        <f>[1]Página1!$E$272/1000</f>
        <v>553.10914000000002</v>
      </c>
      <c r="H60" s="193"/>
    </row>
    <row r="61" spans="1:8" x14ac:dyDescent="0.2">
      <c r="B61" s="450"/>
      <c r="D61" s="41"/>
      <c r="E61" s="438"/>
      <c r="F61" s="431"/>
      <c r="G61" s="439"/>
      <c r="H61" s="193"/>
    </row>
    <row r="62" spans="1:8" ht="15" x14ac:dyDescent="0.25">
      <c r="A62" s="39" t="s">
        <v>455</v>
      </c>
      <c r="B62" s="450"/>
      <c r="D62" s="42" t="s">
        <v>1433</v>
      </c>
      <c r="E62" s="438"/>
      <c r="F62" s="431"/>
      <c r="G62" s="439"/>
      <c r="H62" s="193"/>
    </row>
    <row r="63" spans="1:8" ht="15" x14ac:dyDescent="0.25">
      <c r="A63" s="39"/>
      <c r="B63" s="450"/>
      <c r="D63" s="42"/>
      <c r="E63" s="438"/>
      <c r="F63" s="431"/>
      <c r="G63" s="439"/>
      <c r="H63" s="193"/>
    </row>
    <row r="64" spans="1:8" ht="15" x14ac:dyDescent="0.2">
      <c r="A64" s="29" t="s">
        <v>1670</v>
      </c>
      <c r="B64" s="443" t="s">
        <v>1716</v>
      </c>
      <c r="D64" s="41"/>
      <c r="E64" s="422">
        <f>1236717.49/1000</f>
        <v>1236.71749</v>
      </c>
      <c r="F64" s="431"/>
      <c r="G64" s="422">
        <v>1236.71749</v>
      </c>
      <c r="H64" s="193"/>
    </row>
    <row r="65" spans="1:8" ht="15" x14ac:dyDescent="0.25">
      <c r="A65" s="39"/>
      <c r="B65" s="450"/>
      <c r="D65" s="41"/>
      <c r="E65" s="438"/>
      <c r="F65" s="431"/>
      <c r="G65" s="439"/>
      <c r="H65" s="193"/>
    </row>
    <row r="66" spans="1:8" x14ac:dyDescent="0.2">
      <c r="D66" s="42" t="s">
        <v>1434</v>
      </c>
      <c r="E66" s="438"/>
      <c r="F66" s="431"/>
      <c r="G66" s="439"/>
      <c r="H66" s="193"/>
    </row>
    <row r="67" spans="1:8" ht="15" x14ac:dyDescent="0.25">
      <c r="A67" s="39" t="s">
        <v>1671</v>
      </c>
      <c r="B67" s="35"/>
      <c r="D67" s="41"/>
      <c r="E67" s="430">
        <f>E23+E47+E64</f>
        <v>410958.08806000004</v>
      </c>
      <c r="F67" s="440"/>
      <c r="G67" s="430">
        <f>G23+G47+G64</f>
        <v>322308.84883999999</v>
      </c>
      <c r="H67" s="193"/>
    </row>
    <row r="68" spans="1:8" ht="15" x14ac:dyDescent="0.25">
      <c r="A68" s="39"/>
      <c r="B68" s="35"/>
      <c r="D68" s="41"/>
      <c r="G68" s="193"/>
      <c r="H68" s="193"/>
    </row>
    <row r="69" spans="1:8" ht="15" x14ac:dyDescent="0.25">
      <c r="A69" s="39"/>
      <c r="B69" s="35"/>
      <c r="D69" s="41"/>
      <c r="G69" s="193"/>
      <c r="H69" s="193"/>
    </row>
    <row r="70" spans="1:8" x14ac:dyDescent="0.2">
      <c r="A70" s="461" t="s">
        <v>53</v>
      </c>
      <c r="B70" s="461"/>
      <c r="C70" s="461"/>
      <c r="D70" s="461"/>
      <c r="E70" s="461"/>
      <c r="F70" s="461"/>
      <c r="G70" s="461"/>
    </row>
    <row r="71" spans="1:8" x14ac:dyDescent="0.2">
      <c r="D71" s="41"/>
    </row>
  </sheetData>
  <mergeCells count="8">
    <mergeCell ref="A15:G15"/>
    <mergeCell ref="A17:G17"/>
    <mergeCell ref="A70:G70"/>
    <mergeCell ref="A8:B8"/>
    <mergeCell ref="A9:B9"/>
    <mergeCell ref="A11:B11"/>
    <mergeCell ref="A13:G13"/>
    <mergeCell ref="A14:G14"/>
  </mergeCells>
  <printOptions horizontalCentered="1"/>
  <pageMargins left="1.1811023622047245" right="0.78740157480314965" top="1.9685039370078741" bottom="0.98425196850393704" header="1.1811023622047245" footer="0.35433070866141736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topLeftCell="A30" zoomScaleNormal="100" workbookViewId="0">
      <selection activeCell="B19" sqref="B19:I56"/>
    </sheetView>
  </sheetViews>
  <sheetFormatPr defaultRowHeight="12.75" x14ac:dyDescent="0.2"/>
  <cols>
    <col min="1" max="1" width="9.140625" style="71"/>
    <col min="2" max="2" width="50.7109375" style="71" customWidth="1"/>
    <col min="3" max="3" width="19.5703125" style="71" bestFit="1" customWidth="1"/>
    <col min="4" max="4" width="16.7109375" style="71" customWidth="1"/>
    <col min="5" max="5" width="19" style="71" bestFit="1" customWidth="1"/>
    <col min="6" max="6" width="13.42578125" style="71" customWidth="1"/>
    <col min="7" max="7" width="15.7109375" style="71" customWidth="1"/>
    <col min="8" max="8" width="19.140625" style="71" bestFit="1" customWidth="1"/>
    <col min="9" max="9" width="12.85546875" style="71" customWidth="1"/>
    <col min="10" max="10" width="13.42578125" style="71" bestFit="1" customWidth="1"/>
    <col min="11" max="253" width="9.140625" style="71"/>
    <col min="254" max="254" width="42.42578125" style="71" customWidth="1"/>
    <col min="255" max="261" width="16.7109375" style="71" customWidth="1"/>
    <col min="262" max="262" width="13.42578125" style="71" bestFit="1" customWidth="1"/>
    <col min="263" max="263" width="19.5703125" style="71" customWidth="1"/>
    <col min="264" max="509" width="9.140625" style="71"/>
    <col min="510" max="510" width="42.42578125" style="71" customWidth="1"/>
    <col min="511" max="517" width="16.7109375" style="71" customWidth="1"/>
    <col min="518" max="518" width="13.42578125" style="71" bestFit="1" customWidth="1"/>
    <col min="519" max="519" width="19.5703125" style="71" customWidth="1"/>
    <col min="520" max="765" width="9.140625" style="71"/>
    <col min="766" max="766" width="42.42578125" style="71" customWidth="1"/>
    <col min="767" max="773" width="16.7109375" style="71" customWidth="1"/>
    <col min="774" max="774" width="13.42578125" style="71" bestFit="1" customWidth="1"/>
    <col min="775" max="775" width="19.5703125" style="71" customWidth="1"/>
    <col min="776" max="1021" width="9.140625" style="71"/>
    <col min="1022" max="1022" width="42.42578125" style="71" customWidth="1"/>
    <col min="1023" max="1029" width="16.7109375" style="71" customWidth="1"/>
    <col min="1030" max="1030" width="13.42578125" style="71" bestFit="1" customWidth="1"/>
    <col min="1031" max="1031" width="19.5703125" style="71" customWidth="1"/>
    <col min="1032" max="1277" width="9.140625" style="71"/>
    <col min="1278" max="1278" width="42.42578125" style="71" customWidth="1"/>
    <col min="1279" max="1285" width="16.7109375" style="71" customWidth="1"/>
    <col min="1286" max="1286" width="13.42578125" style="71" bestFit="1" customWidth="1"/>
    <col min="1287" max="1287" width="19.5703125" style="71" customWidth="1"/>
    <col min="1288" max="1533" width="9.140625" style="71"/>
    <col min="1534" max="1534" width="42.42578125" style="71" customWidth="1"/>
    <col min="1535" max="1541" width="16.7109375" style="71" customWidth="1"/>
    <col min="1542" max="1542" width="13.42578125" style="71" bestFit="1" customWidth="1"/>
    <col min="1543" max="1543" width="19.5703125" style="71" customWidth="1"/>
    <col min="1544" max="1789" width="9.140625" style="71"/>
    <col min="1790" max="1790" width="42.42578125" style="71" customWidth="1"/>
    <col min="1791" max="1797" width="16.7109375" style="71" customWidth="1"/>
    <col min="1798" max="1798" width="13.42578125" style="71" bestFit="1" customWidth="1"/>
    <col min="1799" max="1799" width="19.5703125" style="71" customWidth="1"/>
    <col min="1800" max="2045" width="9.140625" style="71"/>
    <col min="2046" max="2046" width="42.42578125" style="71" customWidth="1"/>
    <col min="2047" max="2053" width="16.7109375" style="71" customWidth="1"/>
    <col min="2054" max="2054" width="13.42578125" style="71" bestFit="1" customWidth="1"/>
    <col min="2055" max="2055" width="19.5703125" style="71" customWidth="1"/>
    <col min="2056" max="2301" width="9.140625" style="71"/>
    <col min="2302" max="2302" width="42.42578125" style="71" customWidth="1"/>
    <col min="2303" max="2309" width="16.7109375" style="71" customWidth="1"/>
    <col min="2310" max="2310" width="13.42578125" style="71" bestFit="1" customWidth="1"/>
    <col min="2311" max="2311" width="19.5703125" style="71" customWidth="1"/>
    <col min="2312" max="2557" width="9.140625" style="71"/>
    <col min="2558" max="2558" width="42.42578125" style="71" customWidth="1"/>
    <col min="2559" max="2565" width="16.7109375" style="71" customWidth="1"/>
    <col min="2566" max="2566" width="13.42578125" style="71" bestFit="1" customWidth="1"/>
    <col min="2567" max="2567" width="19.5703125" style="71" customWidth="1"/>
    <col min="2568" max="2813" width="9.140625" style="71"/>
    <col min="2814" max="2814" width="42.42578125" style="71" customWidth="1"/>
    <col min="2815" max="2821" width="16.7109375" style="71" customWidth="1"/>
    <col min="2822" max="2822" width="13.42578125" style="71" bestFit="1" customWidth="1"/>
    <col min="2823" max="2823" width="19.5703125" style="71" customWidth="1"/>
    <col min="2824" max="3069" width="9.140625" style="71"/>
    <col min="3070" max="3070" width="42.42578125" style="71" customWidth="1"/>
    <col min="3071" max="3077" width="16.7109375" style="71" customWidth="1"/>
    <col min="3078" max="3078" width="13.42578125" style="71" bestFit="1" customWidth="1"/>
    <col min="3079" max="3079" width="19.5703125" style="71" customWidth="1"/>
    <col min="3080" max="3325" width="9.140625" style="71"/>
    <col min="3326" max="3326" width="42.42578125" style="71" customWidth="1"/>
    <col min="3327" max="3333" width="16.7109375" style="71" customWidth="1"/>
    <col min="3334" max="3334" width="13.42578125" style="71" bestFit="1" customWidth="1"/>
    <col min="3335" max="3335" width="19.5703125" style="71" customWidth="1"/>
    <col min="3336" max="3581" width="9.140625" style="71"/>
    <col min="3582" max="3582" width="42.42578125" style="71" customWidth="1"/>
    <col min="3583" max="3589" width="16.7109375" style="71" customWidth="1"/>
    <col min="3590" max="3590" width="13.42578125" style="71" bestFit="1" customWidth="1"/>
    <col min="3591" max="3591" width="19.5703125" style="71" customWidth="1"/>
    <col min="3592" max="3837" width="9.140625" style="71"/>
    <col min="3838" max="3838" width="42.42578125" style="71" customWidth="1"/>
    <col min="3839" max="3845" width="16.7109375" style="71" customWidth="1"/>
    <col min="3846" max="3846" width="13.42578125" style="71" bestFit="1" customWidth="1"/>
    <col min="3847" max="3847" width="19.5703125" style="71" customWidth="1"/>
    <col min="3848" max="4093" width="9.140625" style="71"/>
    <col min="4094" max="4094" width="42.42578125" style="71" customWidth="1"/>
    <col min="4095" max="4101" width="16.7109375" style="71" customWidth="1"/>
    <col min="4102" max="4102" width="13.42578125" style="71" bestFit="1" customWidth="1"/>
    <col min="4103" max="4103" width="19.5703125" style="71" customWidth="1"/>
    <col min="4104" max="4349" width="9.140625" style="71"/>
    <col min="4350" max="4350" width="42.42578125" style="71" customWidth="1"/>
    <col min="4351" max="4357" width="16.7109375" style="71" customWidth="1"/>
    <col min="4358" max="4358" width="13.42578125" style="71" bestFit="1" customWidth="1"/>
    <col min="4359" max="4359" width="19.5703125" style="71" customWidth="1"/>
    <col min="4360" max="4605" width="9.140625" style="71"/>
    <col min="4606" max="4606" width="42.42578125" style="71" customWidth="1"/>
    <col min="4607" max="4613" width="16.7109375" style="71" customWidth="1"/>
    <col min="4614" max="4614" width="13.42578125" style="71" bestFit="1" customWidth="1"/>
    <col min="4615" max="4615" width="19.5703125" style="71" customWidth="1"/>
    <col min="4616" max="4861" width="9.140625" style="71"/>
    <col min="4862" max="4862" width="42.42578125" style="71" customWidth="1"/>
    <col min="4863" max="4869" width="16.7109375" style="71" customWidth="1"/>
    <col min="4870" max="4870" width="13.42578125" style="71" bestFit="1" customWidth="1"/>
    <col min="4871" max="4871" width="19.5703125" style="71" customWidth="1"/>
    <col min="4872" max="5117" width="9.140625" style="71"/>
    <col min="5118" max="5118" width="42.42578125" style="71" customWidth="1"/>
    <col min="5119" max="5125" width="16.7109375" style="71" customWidth="1"/>
    <col min="5126" max="5126" width="13.42578125" style="71" bestFit="1" customWidth="1"/>
    <col min="5127" max="5127" width="19.5703125" style="71" customWidth="1"/>
    <col min="5128" max="5373" width="9.140625" style="71"/>
    <col min="5374" max="5374" width="42.42578125" style="71" customWidth="1"/>
    <col min="5375" max="5381" width="16.7109375" style="71" customWidth="1"/>
    <col min="5382" max="5382" width="13.42578125" style="71" bestFit="1" customWidth="1"/>
    <col min="5383" max="5383" width="19.5703125" style="71" customWidth="1"/>
    <col min="5384" max="5629" width="9.140625" style="71"/>
    <col min="5630" max="5630" width="42.42578125" style="71" customWidth="1"/>
    <col min="5631" max="5637" width="16.7109375" style="71" customWidth="1"/>
    <col min="5638" max="5638" width="13.42578125" style="71" bestFit="1" customWidth="1"/>
    <col min="5639" max="5639" width="19.5703125" style="71" customWidth="1"/>
    <col min="5640" max="5885" width="9.140625" style="71"/>
    <col min="5886" max="5886" width="42.42578125" style="71" customWidth="1"/>
    <col min="5887" max="5893" width="16.7109375" style="71" customWidth="1"/>
    <col min="5894" max="5894" width="13.42578125" style="71" bestFit="1" customWidth="1"/>
    <col min="5895" max="5895" width="19.5703125" style="71" customWidth="1"/>
    <col min="5896" max="6141" width="9.140625" style="71"/>
    <col min="6142" max="6142" width="42.42578125" style="71" customWidth="1"/>
    <col min="6143" max="6149" width="16.7109375" style="71" customWidth="1"/>
    <col min="6150" max="6150" width="13.42578125" style="71" bestFit="1" customWidth="1"/>
    <col min="6151" max="6151" width="19.5703125" style="71" customWidth="1"/>
    <col min="6152" max="6397" width="9.140625" style="71"/>
    <col min="6398" max="6398" width="42.42578125" style="71" customWidth="1"/>
    <col min="6399" max="6405" width="16.7109375" style="71" customWidth="1"/>
    <col min="6406" max="6406" width="13.42578125" style="71" bestFit="1" customWidth="1"/>
    <col min="6407" max="6407" width="19.5703125" style="71" customWidth="1"/>
    <col min="6408" max="6653" width="9.140625" style="71"/>
    <col min="6654" max="6654" width="42.42578125" style="71" customWidth="1"/>
    <col min="6655" max="6661" width="16.7109375" style="71" customWidth="1"/>
    <col min="6662" max="6662" width="13.42578125" style="71" bestFit="1" customWidth="1"/>
    <col min="6663" max="6663" width="19.5703125" style="71" customWidth="1"/>
    <col min="6664" max="6909" width="9.140625" style="71"/>
    <col min="6910" max="6910" width="42.42578125" style="71" customWidth="1"/>
    <col min="6911" max="6917" width="16.7109375" style="71" customWidth="1"/>
    <col min="6918" max="6918" width="13.42578125" style="71" bestFit="1" customWidth="1"/>
    <col min="6919" max="6919" width="19.5703125" style="71" customWidth="1"/>
    <col min="6920" max="7165" width="9.140625" style="71"/>
    <col min="7166" max="7166" width="42.42578125" style="71" customWidth="1"/>
    <col min="7167" max="7173" width="16.7109375" style="71" customWidth="1"/>
    <col min="7174" max="7174" width="13.42578125" style="71" bestFit="1" customWidth="1"/>
    <col min="7175" max="7175" width="19.5703125" style="71" customWidth="1"/>
    <col min="7176" max="7421" width="9.140625" style="71"/>
    <col min="7422" max="7422" width="42.42578125" style="71" customWidth="1"/>
    <col min="7423" max="7429" width="16.7109375" style="71" customWidth="1"/>
    <col min="7430" max="7430" width="13.42578125" style="71" bestFit="1" customWidth="1"/>
    <col min="7431" max="7431" width="19.5703125" style="71" customWidth="1"/>
    <col min="7432" max="7677" width="9.140625" style="71"/>
    <col min="7678" max="7678" width="42.42578125" style="71" customWidth="1"/>
    <col min="7679" max="7685" width="16.7109375" style="71" customWidth="1"/>
    <col min="7686" max="7686" width="13.42578125" style="71" bestFit="1" customWidth="1"/>
    <col min="7687" max="7687" width="19.5703125" style="71" customWidth="1"/>
    <col min="7688" max="7933" width="9.140625" style="71"/>
    <col min="7934" max="7934" width="42.42578125" style="71" customWidth="1"/>
    <col min="7935" max="7941" width="16.7109375" style="71" customWidth="1"/>
    <col min="7942" max="7942" width="13.42578125" style="71" bestFit="1" customWidth="1"/>
    <col min="7943" max="7943" width="19.5703125" style="71" customWidth="1"/>
    <col min="7944" max="8189" width="9.140625" style="71"/>
    <col min="8190" max="8190" width="42.42578125" style="71" customWidth="1"/>
    <col min="8191" max="8197" width="16.7109375" style="71" customWidth="1"/>
    <col min="8198" max="8198" width="13.42578125" style="71" bestFit="1" customWidth="1"/>
    <col min="8199" max="8199" width="19.5703125" style="71" customWidth="1"/>
    <col min="8200" max="8445" width="9.140625" style="71"/>
    <col min="8446" max="8446" width="42.42578125" style="71" customWidth="1"/>
    <col min="8447" max="8453" width="16.7109375" style="71" customWidth="1"/>
    <col min="8454" max="8454" width="13.42578125" style="71" bestFit="1" customWidth="1"/>
    <col min="8455" max="8455" width="19.5703125" style="71" customWidth="1"/>
    <col min="8456" max="8701" width="9.140625" style="71"/>
    <col min="8702" max="8702" width="42.42578125" style="71" customWidth="1"/>
    <col min="8703" max="8709" width="16.7109375" style="71" customWidth="1"/>
    <col min="8710" max="8710" width="13.42578125" style="71" bestFit="1" customWidth="1"/>
    <col min="8711" max="8711" width="19.5703125" style="71" customWidth="1"/>
    <col min="8712" max="8957" width="9.140625" style="71"/>
    <col min="8958" max="8958" width="42.42578125" style="71" customWidth="1"/>
    <col min="8959" max="8965" width="16.7109375" style="71" customWidth="1"/>
    <col min="8966" max="8966" width="13.42578125" style="71" bestFit="1" customWidth="1"/>
    <col min="8967" max="8967" width="19.5703125" style="71" customWidth="1"/>
    <col min="8968" max="9213" width="9.140625" style="71"/>
    <col min="9214" max="9214" width="42.42578125" style="71" customWidth="1"/>
    <col min="9215" max="9221" width="16.7109375" style="71" customWidth="1"/>
    <col min="9222" max="9222" width="13.42578125" style="71" bestFit="1" customWidth="1"/>
    <col min="9223" max="9223" width="19.5703125" style="71" customWidth="1"/>
    <col min="9224" max="9469" width="9.140625" style="71"/>
    <col min="9470" max="9470" width="42.42578125" style="71" customWidth="1"/>
    <col min="9471" max="9477" width="16.7109375" style="71" customWidth="1"/>
    <col min="9478" max="9478" width="13.42578125" style="71" bestFit="1" customWidth="1"/>
    <col min="9479" max="9479" width="19.5703125" style="71" customWidth="1"/>
    <col min="9480" max="9725" width="9.140625" style="71"/>
    <col min="9726" max="9726" width="42.42578125" style="71" customWidth="1"/>
    <col min="9727" max="9733" width="16.7109375" style="71" customWidth="1"/>
    <col min="9734" max="9734" width="13.42578125" style="71" bestFit="1" customWidth="1"/>
    <col min="9735" max="9735" width="19.5703125" style="71" customWidth="1"/>
    <col min="9736" max="9981" width="9.140625" style="71"/>
    <col min="9982" max="9982" width="42.42578125" style="71" customWidth="1"/>
    <col min="9983" max="9989" width="16.7109375" style="71" customWidth="1"/>
    <col min="9990" max="9990" width="13.42578125" style="71" bestFit="1" customWidth="1"/>
    <col min="9991" max="9991" width="19.5703125" style="71" customWidth="1"/>
    <col min="9992" max="10237" width="9.140625" style="71"/>
    <col min="10238" max="10238" width="42.42578125" style="71" customWidth="1"/>
    <col min="10239" max="10245" width="16.7109375" style="71" customWidth="1"/>
    <col min="10246" max="10246" width="13.42578125" style="71" bestFit="1" customWidth="1"/>
    <col min="10247" max="10247" width="19.5703125" style="71" customWidth="1"/>
    <col min="10248" max="10493" width="9.140625" style="71"/>
    <col min="10494" max="10494" width="42.42578125" style="71" customWidth="1"/>
    <col min="10495" max="10501" width="16.7109375" style="71" customWidth="1"/>
    <col min="10502" max="10502" width="13.42578125" style="71" bestFit="1" customWidth="1"/>
    <col min="10503" max="10503" width="19.5703125" style="71" customWidth="1"/>
    <col min="10504" max="10749" width="9.140625" style="71"/>
    <col min="10750" max="10750" width="42.42578125" style="71" customWidth="1"/>
    <col min="10751" max="10757" width="16.7109375" style="71" customWidth="1"/>
    <col min="10758" max="10758" width="13.42578125" style="71" bestFit="1" customWidth="1"/>
    <col min="10759" max="10759" width="19.5703125" style="71" customWidth="1"/>
    <col min="10760" max="11005" width="9.140625" style="71"/>
    <col min="11006" max="11006" width="42.42578125" style="71" customWidth="1"/>
    <col min="11007" max="11013" width="16.7109375" style="71" customWidth="1"/>
    <col min="11014" max="11014" width="13.42578125" style="71" bestFit="1" customWidth="1"/>
    <col min="11015" max="11015" width="19.5703125" style="71" customWidth="1"/>
    <col min="11016" max="11261" width="9.140625" style="71"/>
    <col min="11262" max="11262" width="42.42578125" style="71" customWidth="1"/>
    <col min="11263" max="11269" width="16.7109375" style="71" customWidth="1"/>
    <col min="11270" max="11270" width="13.42578125" style="71" bestFit="1" customWidth="1"/>
    <col min="11271" max="11271" width="19.5703125" style="71" customWidth="1"/>
    <col min="11272" max="11517" width="9.140625" style="71"/>
    <col min="11518" max="11518" width="42.42578125" style="71" customWidth="1"/>
    <col min="11519" max="11525" width="16.7109375" style="71" customWidth="1"/>
    <col min="11526" max="11526" width="13.42578125" style="71" bestFit="1" customWidth="1"/>
    <col min="11527" max="11527" width="19.5703125" style="71" customWidth="1"/>
    <col min="11528" max="11773" width="9.140625" style="71"/>
    <col min="11774" max="11774" width="42.42578125" style="71" customWidth="1"/>
    <col min="11775" max="11781" width="16.7109375" style="71" customWidth="1"/>
    <col min="11782" max="11782" width="13.42578125" style="71" bestFit="1" customWidth="1"/>
    <col min="11783" max="11783" width="19.5703125" style="71" customWidth="1"/>
    <col min="11784" max="12029" width="9.140625" style="71"/>
    <col min="12030" max="12030" width="42.42578125" style="71" customWidth="1"/>
    <col min="12031" max="12037" width="16.7109375" style="71" customWidth="1"/>
    <col min="12038" max="12038" width="13.42578125" style="71" bestFit="1" customWidth="1"/>
    <col min="12039" max="12039" width="19.5703125" style="71" customWidth="1"/>
    <col min="12040" max="12285" width="9.140625" style="71"/>
    <col min="12286" max="12286" width="42.42578125" style="71" customWidth="1"/>
    <col min="12287" max="12293" width="16.7109375" style="71" customWidth="1"/>
    <col min="12294" max="12294" width="13.42578125" style="71" bestFit="1" customWidth="1"/>
    <col min="12295" max="12295" width="19.5703125" style="71" customWidth="1"/>
    <col min="12296" max="12541" width="9.140625" style="71"/>
    <col min="12542" max="12542" width="42.42578125" style="71" customWidth="1"/>
    <col min="12543" max="12549" width="16.7109375" style="71" customWidth="1"/>
    <col min="12550" max="12550" width="13.42578125" style="71" bestFit="1" customWidth="1"/>
    <col min="12551" max="12551" width="19.5703125" style="71" customWidth="1"/>
    <col min="12552" max="12797" width="9.140625" style="71"/>
    <col min="12798" max="12798" width="42.42578125" style="71" customWidth="1"/>
    <col min="12799" max="12805" width="16.7109375" style="71" customWidth="1"/>
    <col min="12806" max="12806" width="13.42578125" style="71" bestFit="1" customWidth="1"/>
    <col min="12807" max="12807" width="19.5703125" style="71" customWidth="1"/>
    <col min="12808" max="13053" width="9.140625" style="71"/>
    <col min="13054" max="13054" width="42.42578125" style="71" customWidth="1"/>
    <col min="13055" max="13061" width="16.7109375" style="71" customWidth="1"/>
    <col min="13062" max="13062" width="13.42578125" style="71" bestFit="1" customWidth="1"/>
    <col min="13063" max="13063" width="19.5703125" style="71" customWidth="1"/>
    <col min="13064" max="13309" width="9.140625" style="71"/>
    <col min="13310" max="13310" width="42.42578125" style="71" customWidth="1"/>
    <col min="13311" max="13317" width="16.7109375" style="71" customWidth="1"/>
    <col min="13318" max="13318" width="13.42578125" style="71" bestFit="1" customWidth="1"/>
    <col min="13319" max="13319" width="19.5703125" style="71" customWidth="1"/>
    <col min="13320" max="13565" width="9.140625" style="71"/>
    <col min="13566" max="13566" width="42.42578125" style="71" customWidth="1"/>
    <col min="13567" max="13573" width="16.7109375" style="71" customWidth="1"/>
    <col min="13574" max="13574" width="13.42578125" style="71" bestFit="1" customWidth="1"/>
    <col min="13575" max="13575" width="19.5703125" style="71" customWidth="1"/>
    <col min="13576" max="13821" width="9.140625" style="71"/>
    <col min="13822" max="13822" width="42.42578125" style="71" customWidth="1"/>
    <col min="13823" max="13829" width="16.7109375" style="71" customWidth="1"/>
    <col min="13830" max="13830" width="13.42578125" style="71" bestFit="1" customWidth="1"/>
    <col min="13831" max="13831" width="19.5703125" style="71" customWidth="1"/>
    <col min="13832" max="14077" width="9.140625" style="71"/>
    <col min="14078" max="14078" width="42.42578125" style="71" customWidth="1"/>
    <col min="14079" max="14085" width="16.7109375" style="71" customWidth="1"/>
    <col min="14086" max="14086" width="13.42578125" style="71" bestFit="1" customWidth="1"/>
    <col min="14087" max="14087" width="19.5703125" style="71" customWidth="1"/>
    <col min="14088" max="14333" width="9.140625" style="71"/>
    <col min="14334" max="14334" width="42.42578125" style="71" customWidth="1"/>
    <col min="14335" max="14341" width="16.7109375" style="71" customWidth="1"/>
    <col min="14342" max="14342" width="13.42578125" style="71" bestFit="1" customWidth="1"/>
    <col min="14343" max="14343" width="19.5703125" style="71" customWidth="1"/>
    <col min="14344" max="14589" width="9.140625" style="71"/>
    <col min="14590" max="14590" width="42.42578125" style="71" customWidth="1"/>
    <col min="14591" max="14597" width="16.7109375" style="71" customWidth="1"/>
    <col min="14598" max="14598" width="13.42578125" style="71" bestFit="1" customWidth="1"/>
    <col min="14599" max="14599" width="19.5703125" style="71" customWidth="1"/>
    <col min="14600" max="14845" width="9.140625" style="71"/>
    <col min="14846" max="14846" width="42.42578125" style="71" customWidth="1"/>
    <col min="14847" max="14853" width="16.7109375" style="71" customWidth="1"/>
    <col min="14854" max="14854" width="13.42578125" style="71" bestFit="1" customWidth="1"/>
    <col min="14855" max="14855" width="19.5703125" style="71" customWidth="1"/>
    <col min="14856" max="15101" width="9.140625" style="71"/>
    <col min="15102" max="15102" width="42.42578125" style="71" customWidth="1"/>
    <col min="15103" max="15109" width="16.7109375" style="71" customWidth="1"/>
    <col min="15110" max="15110" width="13.42578125" style="71" bestFit="1" customWidth="1"/>
    <col min="15111" max="15111" width="19.5703125" style="71" customWidth="1"/>
    <col min="15112" max="15357" width="9.140625" style="71"/>
    <col min="15358" max="15358" width="42.42578125" style="71" customWidth="1"/>
    <col min="15359" max="15365" width="16.7109375" style="71" customWidth="1"/>
    <col min="15366" max="15366" width="13.42578125" style="71" bestFit="1" customWidth="1"/>
    <col min="15367" max="15367" width="19.5703125" style="71" customWidth="1"/>
    <col min="15368" max="15613" width="9.140625" style="71"/>
    <col min="15614" max="15614" width="42.42578125" style="71" customWidth="1"/>
    <col min="15615" max="15621" width="16.7109375" style="71" customWidth="1"/>
    <col min="15622" max="15622" width="13.42578125" style="71" bestFit="1" customWidth="1"/>
    <col min="15623" max="15623" width="19.5703125" style="71" customWidth="1"/>
    <col min="15624" max="15869" width="9.140625" style="71"/>
    <col min="15870" max="15870" width="42.42578125" style="71" customWidth="1"/>
    <col min="15871" max="15877" width="16.7109375" style="71" customWidth="1"/>
    <col min="15878" max="15878" width="13.42578125" style="71" bestFit="1" customWidth="1"/>
    <col min="15879" max="15879" width="19.5703125" style="71" customWidth="1"/>
    <col min="15880" max="16125" width="9.140625" style="71"/>
    <col min="16126" max="16126" width="42.42578125" style="71" customWidth="1"/>
    <col min="16127" max="16133" width="16.7109375" style="71" customWidth="1"/>
    <col min="16134" max="16134" width="13.42578125" style="71" bestFit="1" customWidth="1"/>
    <col min="16135" max="16135" width="19.5703125" style="71" customWidth="1"/>
    <col min="16136" max="16384" width="9.140625" style="71"/>
  </cols>
  <sheetData>
    <row r="1" spans="1:10" x14ac:dyDescent="0.2">
      <c r="A1" s="312"/>
      <c r="B1" s="312"/>
      <c r="C1" s="312"/>
      <c r="D1" s="312"/>
      <c r="E1" s="312"/>
      <c r="F1" s="312"/>
      <c r="G1" s="312"/>
      <c r="H1" s="312"/>
      <c r="I1" s="312"/>
      <c r="J1" s="312"/>
    </row>
    <row r="2" spans="1:10" x14ac:dyDescent="0.2">
      <c r="A2" s="312"/>
      <c r="B2" s="312"/>
      <c r="C2" s="312"/>
      <c r="D2" s="312"/>
      <c r="E2" s="312"/>
      <c r="F2" s="312"/>
      <c r="G2" s="312"/>
      <c r="H2" s="312"/>
      <c r="I2" s="312"/>
      <c r="J2" s="312"/>
    </row>
    <row r="3" spans="1:10" x14ac:dyDescent="0.2">
      <c r="A3" s="312"/>
      <c r="B3" s="312"/>
      <c r="C3" s="312"/>
      <c r="D3" s="312"/>
      <c r="E3" s="312"/>
      <c r="F3" s="312"/>
      <c r="G3" s="312"/>
      <c r="H3" s="312"/>
      <c r="I3" s="312"/>
      <c r="J3" s="312"/>
    </row>
    <row r="4" spans="1:10" x14ac:dyDescent="0.2">
      <c r="A4" s="312"/>
      <c r="B4" s="312"/>
      <c r="C4" s="312"/>
      <c r="D4" s="312"/>
      <c r="E4" s="312"/>
      <c r="F4" s="312"/>
      <c r="G4" s="312"/>
      <c r="H4" s="312"/>
      <c r="I4" s="312"/>
      <c r="J4" s="312"/>
    </row>
    <row r="5" spans="1:10" x14ac:dyDescent="0.2">
      <c r="A5" s="312"/>
      <c r="B5" s="312"/>
      <c r="C5" s="312"/>
      <c r="D5" s="312"/>
      <c r="E5" s="312"/>
      <c r="F5" s="312"/>
      <c r="G5" s="312"/>
      <c r="H5" s="312"/>
      <c r="I5" s="312"/>
      <c r="J5" s="312"/>
    </row>
    <row r="6" spans="1:10" x14ac:dyDescent="0.2">
      <c r="A6" s="312"/>
      <c r="B6" s="313"/>
      <c r="C6" s="313"/>
      <c r="D6" s="313"/>
      <c r="E6" s="313"/>
      <c r="F6" s="313"/>
      <c r="G6" s="313"/>
      <c r="H6" s="313"/>
      <c r="I6" s="313"/>
      <c r="J6" s="313"/>
    </row>
    <row r="7" spans="1:10" x14ac:dyDescent="0.2">
      <c r="A7" s="312"/>
      <c r="B7" s="313"/>
      <c r="C7" s="313"/>
      <c r="D7" s="313"/>
      <c r="E7" s="313"/>
      <c r="F7" s="313"/>
      <c r="G7" s="313"/>
      <c r="H7" s="313"/>
      <c r="I7" s="313"/>
      <c r="J7" s="313"/>
    </row>
    <row r="8" spans="1:10" ht="12.75" hidden="1" customHeight="1" x14ac:dyDescent="0.2">
      <c r="A8" s="312"/>
      <c r="B8" s="313"/>
      <c r="C8" s="313"/>
      <c r="D8" s="313"/>
      <c r="E8" s="313"/>
      <c r="F8" s="313"/>
      <c r="G8" s="313"/>
      <c r="H8" s="313"/>
      <c r="I8" s="313"/>
      <c r="J8" s="313"/>
    </row>
    <row r="9" spans="1:10" x14ac:dyDescent="0.2">
      <c r="A9" s="312"/>
      <c r="B9" s="313"/>
      <c r="C9" s="313"/>
      <c r="D9" s="313"/>
      <c r="E9" s="313"/>
      <c r="F9" s="313"/>
      <c r="G9" s="313"/>
      <c r="H9" s="313"/>
      <c r="I9" s="313"/>
      <c r="J9" s="313"/>
    </row>
    <row r="10" spans="1:10" x14ac:dyDescent="0.2">
      <c r="A10" s="312"/>
      <c r="B10" s="313"/>
      <c r="C10" s="313"/>
      <c r="D10" s="313"/>
      <c r="E10" s="313"/>
      <c r="F10" s="313"/>
      <c r="G10" s="313"/>
      <c r="H10" s="313"/>
      <c r="I10" s="313"/>
      <c r="J10" s="313"/>
    </row>
    <row r="11" spans="1:10" x14ac:dyDescent="0.2">
      <c r="A11" s="312"/>
      <c r="B11" s="313"/>
      <c r="C11" s="313"/>
      <c r="D11" s="313"/>
      <c r="E11" s="313"/>
      <c r="F11" s="313"/>
      <c r="G11" s="313"/>
      <c r="H11" s="313"/>
      <c r="I11" s="313"/>
      <c r="J11" s="313"/>
    </row>
    <row r="12" spans="1:10" x14ac:dyDescent="0.2">
      <c r="A12" s="312"/>
      <c r="B12" s="313"/>
      <c r="C12" s="313"/>
      <c r="D12" s="313"/>
      <c r="E12" s="313"/>
      <c r="F12" s="313"/>
      <c r="G12" s="313"/>
      <c r="H12" s="313"/>
      <c r="I12" s="313"/>
      <c r="J12" s="313"/>
    </row>
    <row r="13" spans="1:10" x14ac:dyDescent="0.2">
      <c r="A13" s="312"/>
      <c r="B13" s="313"/>
      <c r="C13" s="313"/>
      <c r="D13" s="313"/>
      <c r="E13" s="313"/>
      <c r="F13" s="313"/>
      <c r="G13" s="313"/>
      <c r="H13" s="313"/>
      <c r="I13" s="313"/>
      <c r="J13" s="313"/>
    </row>
    <row r="14" spans="1:10" x14ac:dyDescent="0.2">
      <c r="A14" s="312"/>
      <c r="B14" s="492" t="s">
        <v>0</v>
      </c>
      <c r="C14" s="492"/>
      <c r="D14" s="492"/>
      <c r="E14" s="492"/>
      <c r="F14" s="492"/>
      <c r="G14" s="492"/>
      <c r="H14" s="492"/>
      <c r="I14" s="492"/>
      <c r="J14" s="313"/>
    </row>
    <row r="15" spans="1:10" x14ac:dyDescent="0.2">
      <c r="A15" s="312"/>
      <c r="B15" s="492" t="s">
        <v>1</v>
      </c>
      <c r="C15" s="492"/>
      <c r="D15" s="492"/>
      <c r="E15" s="492"/>
      <c r="F15" s="492"/>
      <c r="G15" s="492"/>
      <c r="H15" s="492"/>
      <c r="I15" s="492"/>
      <c r="J15" s="313"/>
    </row>
    <row r="16" spans="1:10" x14ac:dyDescent="0.2">
      <c r="A16" s="312"/>
      <c r="B16" s="314"/>
      <c r="C16" s="314"/>
      <c r="D16" s="314"/>
      <c r="E16" s="314"/>
      <c r="F16" s="314"/>
      <c r="G16" s="314"/>
      <c r="H16" s="314"/>
      <c r="I16" s="314"/>
      <c r="J16" s="313"/>
    </row>
    <row r="17" spans="1:15" x14ac:dyDescent="0.2">
      <c r="A17" s="312"/>
      <c r="B17" s="492" t="s">
        <v>2</v>
      </c>
      <c r="C17" s="492"/>
      <c r="D17" s="492"/>
      <c r="E17" s="492"/>
      <c r="F17" s="492"/>
      <c r="G17" s="492"/>
      <c r="H17" s="492"/>
      <c r="I17" s="492"/>
      <c r="J17" s="313"/>
    </row>
    <row r="18" spans="1:15" x14ac:dyDescent="0.2">
      <c r="A18" s="312"/>
      <c r="B18" s="314"/>
      <c r="C18" s="314"/>
      <c r="D18" s="314"/>
      <c r="E18" s="314"/>
      <c r="F18" s="314"/>
      <c r="G18" s="314"/>
      <c r="H18" s="314"/>
      <c r="I18" s="314"/>
      <c r="J18" s="313"/>
    </row>
    <row r="19" spans="1:15" x14ac:dyDescent="0.2">
      <c r="A19" s="312"/>
      <c r="B19" s="492" t="s">
        <v>1760</v>
      </c>
      <c r="C19" s="492"/>
      <c r="D19" s="492"/>
      <c r="E19" s="492"/>
      <c r="F19" s="492"/>
      <c r="G19" s="492"/>
      <c r="H19" s="492"/>
      <c r="I19" s="492"/>
      <c r="J19" s="313"/>
    </row>
    <row r="20" spans="1:15" ht="15" x14ac:dyDescent="0.25">
      <c r="A20" s="312"/>
      <c r="B20" s="493" t="s">
        <v>1932</v>
      </c>
      <c r="C20" s="493"/>
      <c r="D20" s="493"/>
      <c r="E20" s="493"/>
      <c r="F20" s="493"/>
      <c r="G20" s="493"/>
      <c r="H20" s="493"/>
      <c r="I20" s="493"/>
      <c r="J20" s="203"/>
      <c r="K20" s="192"/>
      <c r="L20" s="192"/>
      <c r="M20" s="192"/>
      <c r="N20" s="192"/>
    </row>
    <row r="21" spans="1:15" x14ac:dyDescent="0.2">
      <c r="A21" s="312"/>
      <c r="B21" s="494" t="s">
        <v>3</v>
      </c>
      <c r="C21" s="494"/>
      <c r="D21" s="494"/>
      <c r="E21" s="494"/>
      <c r="F21" s="494"/>
      <c r="G21" s="494"/>
      <c r="H21" s="494"/>
      <c r="I21" s="495"/>
      <c r="J21" s="315"/>
    </row>
    <row r="22" spans="1:15" x14ac:dyDescent="0.2">
      <c r="A22" s="312"/>
      <c r="B22" s="312"/>
      <c r="C22" s="312"/>
      <c r="D22" s="312"/>
      <c r="E22" s="312"/>
      <c r="F22" s="312"/>
      <c r="G22" s="312"/>
      <c r="H22" s="316"/>
      <c r="I22" s="316"/>
      <c r="J22" s="312"/>
    </row>
    <row r="23" spans="1:15" x14ac:dyDescent="0.2">
      <c r="A23" s="312"/>
      <c r="B23" s="317"/>
      <c r="C23" s="491" t="s">
        <v>1761</v>
      </c>
      <c r="D23" s="491"/>
      <c r="E23" s="318" t="s">
        <v>1762</v>
      </c>
      <c r="F23" s="318" t="s">
        <v>1763</v>
      </c>
      <c r="G23" s="318" t="s">
        <v>1764</v>
      </c>
      <c r="H23" s="318" t="s">
        <v>1765</v>
      </c>
      <c r="I23" s="318" t="s">
        <v>1671</v>
      </c>
      <c r="J23" s="312"/>
    </row>
    <row r="24" spans="1:15" x14ac:dyDescent="0.2">
      <c r="A24" s="312"/>
      <c r="B24" s="319" t="s">
        <v>1766</v>
      </c>
      <c r="C24" s="320" t="s">
        <v>1081</v>
      </c>
      <c r="D24" s="320" t="s">
        <v>1767</v>
      </c>
      <c r="E24" s="321" t="s">
        <v>1768</v>
      </c>
      <c r="F24" s="321" t="s">
        <v>1769</v>
      </c>
      <c r="G24" s="321" t="s">
        <v>1770</v>
      </c>
      <c r="H24" s="321" t="s">
        <v>1771</v>
      </c>
      <c r="I24" s="321" t="s">
        <v>1772</v>
      </c>
      <c r="J24" s="312"/>
    </row>
    <row r="25" spans="1:15" x14ac:dyDescent="0.2">
      <c r="A25" s="312"/>
      <c r="B25" s="322" t="s">
        <v>1878</v>
      </c>
      <c r="C25" s="368">
        <v>273138</v>
      </c>
      <c r="D25" s="368">
        <v>181</v>
      </c>
      <c r="E25" s="368">
        <v>8547</v>
      </c>
      <c r="F25" s="368">
        <v>1502</v>
      </c>
      <c r="G25" s="368">
        <v>-11895</v>
      </c>
      <c r="H25" s="369">
        <v>-76394</v>
      </c>
      <c r="I25" s="368">
        <v>195078</v>
      </c>
      <c r="J25" s="312"/>
    </row>
    <row r="26" spans="1:15" x14ac:dyDescent="0.2">
      <c r="A26" s="312"/>
      <c r="B26" s="323" t="s">
        <v>1915</v>
      </c>
      <c r="C26" s="368"/>
      <c r="D26" s="368"/>
      <c r="E26" s="368"/>
      <c r="F26" s="368"/>
      <c r="G26" s="368"/>
      <c r="H26" s="369">
        <v>-4735</v>
      </c>
      <c r="I26" s="368">
        <f t="shared" ref="I26:I47" si="0">SUM(C26:H26)</f>
        <v>-4735</v>
      </c>
      <c r="J26" s="312"/>
      <c r="N26" s="198"/>
      <c r="O26" s="198"/>
    </row>
    <row r="27" spans="1:15" x14ac:dyDescent="0.2">
      <c r="A27" s="312"/>
      <c r="B27" s="457" t="s">
        <v>1787</v>
      </c>
      <c r="C27" s="368"/>
      <c r="D27" s="368"/>
      <c r="E27" s="368"/>
      <c r="F27" s="369">
        <v>66</v>
      </c>
      <c r="G27" s="368"/>
      <c r="H27" s="368"/>
      <c r="I27" s="368">
        <f t="shared" si="0"/>
        <v>66</v>
      </c>
      <c r="J27" s="312"/>
    </row>
    <row r="28" spans="1:15" x14ac:dyDescent="0.2">
      <c r="A28" s="312"/>
      <c r="B28" s="457" t="s">
        <v>1940</v>
      </c>
      <c r="C28" s="368"/>
      <c r="D28" s="368"/>
      <c r="E28" s="369"/>
      <c r="F28" s="369"/>
      <c r="G28" s="368"/>
      <c r="H28" s="368">
        <v>5046</v>
      </c>
      <c r="I28" s="368">
        <f t="shared" si="0"/>
        <v>5046</v>
      </c>
      <c r="J28" s="312"/>
    </row>
    <row r="29" spans="1:15" x14ac:dyDescent="0.2">
      <c r="A29" s="312"/>
      <c r="B29" s="323" t="s">
        <v>1916</v>
      </c>
      <c r="C29" s="370"/>
      <c r="D29" s="370"/>
      <c r="E29" s="370">
        <v>4177</v>
      </c>
      <c r="F29" s="370"/>
      <c r="G29" s="370"/>
      <c r="H29" s="370"/>
      <c r="I29" s="368">
        <f t="shared" si="0"/>
        <v>4177</v>
      </c>
      <c r="J29" s="312"/>
    </row>
    <row r="30" spans="1:15" x14ac:dyDescent="0.2">
      <c r="A30" s="312"/>
      <c r="B30" s="457" t="s">
        <v>1941</v>
      </c>
      <c r="C30" s="370"/>
      <c r="D30" s="370"/>
      <c r="E30" s="370"/>
      <c r="F30" s="370"/>
      <c r="G30" s="369">
        <v>4250</v>
      </c>
      <c r="H30" s="371"/>
      <c r="I30" s="368">
        <f t="shared" si="0"/>
        <v>4250</v>
      </c>
      <c r="J30" s="312"/>
    </row>
    <row r="31" spans="1:15" x14ac:dyDescent="0.2">
      <c r="A31" s="312"/>
      <c r="B31" s="322" t="s">
        <v>1888</v>
      </c>
      <c r="C31" s="371">
        <f t="shared" ref="C31:D31" si="1">SUM(C25:C30)</f>
        <v>273138</v>
      </c>
      <c r="D31" s="371">
        <f t="shared" si="1"/>
        <v>181</v>
      </c>
      <c r="E31" s="371">
        <v>12723</v>
      </c>
      <c r="F31" s="371">
        <f t="shared" ref="F31:G31" si="2">SUM(F25:F30)</f>
        <v>1568</v>
      </c>
      <c r="G31" s="371">
        <f t="shared" si="2"/>
        <v>-7645</v>
      </c>
      <c r="H31" s="371">
        <f>SUM(H25:H30)</f>
        <v>-76083</v>
      </c>
      <c r="I31" s="371">
        <v>203881</v>
      </c>
      <c r="J31" s="312"/>
      <c r="K31" s="98"/>
    </row>
    <row r="32" spans="1:15" x14ac:dyDescent="0.2">
      <c r="A32" s="312"/>
      <c r="B32" s="322" t="s">
        <v>1892</v>
      </c>
      <c r="C32" s="371"/>
      <c r="D32" s="371"/>
      <c r="E32" s="371"/>
      <c r="F32" s="371"/>
      <c r="G32" s="371"/>
      <c r="H32" s="371">
        <v>-3442</v>
      </c>
      <c r="I32" s="368">
        <f t="shared" si="0"/>
        <v>-3442</v>
      </c>
      <c r="J32" s="312"/>
      <c r="K32" s="98"/>
    </row>
    <row r="33" spans="1:11" x14ac:dyDescent="0.2">
      <c r="A33" s="312"/>
      <c r="B33" s="324" t="s">
        <v>1871</v>
      </c>
      <c r="C33" s="371"/>
      <c r="D33" s="371"/>
      <c r="E33" s="371"/>
      <c r="F33" s="371"/>
      <c r="G33" s="371">
        <v>-1</v>
      </c>
      <c r="H33" s="371"/>
      <c r="I33" s="368">
        <f t="shared" si="0"/>
        <v>-1</v>
      </c>
      <c r="J33" s="312"/>
      <c r="K33" s="98"/>
    </row>
    <row r="34" spans="1:11" x14ac:dyDescent="0.2">
      <c r="A34" s="312"/>
      <c r="B34" s="323" t="s">
        <v>1908</v>
      </c>
      <c r="C34" s="371"/>
      <c r="D34" s="371"/>
      <c r="E34" s="371"/>
      <c r="F34" s="371">
        <v>38</v>
      </c>
      <c r="G34" s="371">
        <v>0</v>
      </c>
      <c r="H34" s="371"/>
      <c r="I34" s="368">
        <f t="shared" si="0"/>
        <v>38</v>
      </c>
      <c r="J34" s="312"/>
      <c r="K34" s="98"/>
    </row>
    <row r="35" spans="1:11" x14ac:dyDescent="0.2">
      <c r="A35" s="312"/>
      <c r="B35" s="323" t="s">
        <v>1909</v>
      </c>
      <c r="C35" s="371"/>
      <c r="D35" s="371"/>
      <c r="E35" s="371"/>
      <c r="F35" s="371"/>
      <c r="G35" s="371"/>
      <c r="H35" s="371">
        <v>1276</v>
      </c>
      <c r="I35" s="368">
        <f t="shared" si="0"/>
        <v>1276</v>
      </c>
      <c r="J35" s="312"/>
      <c r="K35" s="98"/>
    </row>
    <row r="36" spans="1:11" x14ac:dyDescent="0.2">
      <c r="A36" s="312"/>
      <c r="B36" s="322" t="s">
        <v>1936</v>
      </c>
      <c r="C36" s="368">
        <f>SUM(C31:C35)</f>
        <v>273138</v>
      </c>
      <c r="D36" s="368">
        <f t="shared" ref="D36:H36" si="3">SUM(D31:D35)</f>
        <v>181</v>
      </c>
      <c r="E36" s="368">
        <f t="shared" si="3"/>
        <v>12723</v>
      </c>
      <c r="F36" s="368">
        <f t="shared" si="3"/>
        <v>1606</v>
      </c>
      <c r="G36" s="368">
        <f t="shared" si="3"/>
        <v>-7646</v>
      </c>
      <c r="H36" s="368">
        <f t="shared" si="3"/>
        <v>-78249</v>
      </c>
      <c r="I36" s="368">
        <f>SUM(C36:H36)</f>
        <v>201753</v>
      </c>
      <c r="J36" s="312"/>
      <c r="K36" s="98"/>
    </row>
    <row r="37" spans="1:11" x14ac:dyDescent="0.2">
      <c r="A37" s="312"/>
      <c r="B37" s="322" t="s">
        <v>1904</v>
      </c>
      <c r="C37" s="371"/>
      <c r="D37" s="371"/>
      <c r="E37" s="371"/>
      <c r="F37" s="371"/>
      <c r="G37" s="371"/>
      <c r="H37" s="371">
        <v>-2419</v>
      </c>
      <c r="I37" s="368">
        <f t="shared" si="0"/>
        <v>-2419</v>
      </c>
      <c r="J37" s="312"/>
      <c r="K37" s="98"/>
    </row>
    <row r="38" spans="1:11" x14ac:dyDescent="0.2">
      <c r="A38" s="312"/>
      <c r="B38" s="323" t="s">
        <v>1906</v>
      </c>
      <c r="C38" s="371">
        <f>60846259.58/1000</f>
        <v>60846.259579999998</v>
      </c>
      <c r="D38" s="371">
        <f>-14148.31/1000</f>
        <v>-14.148309999999999</v>
      </c>
      <c r="E38" s="371">
        <f>-6311930.66/1000</f>
        <v>-6311.93066</v>
      </c>
      <c r="F38" s="371"/>
      <c r="G38" s="371"/>
      <c r="H38" s="371"/>
      <c r="I38" s="368">
        <f t="shared" si="0"/>
        <v>54520.180610000003</v>
      </c>
      <c r="J38" s="312"/>
      <c r="K38" s="98"/>
    </row>
    <row r="39" spans="1:11" x14ac:dyDescent="0.2">
      <c r="A39" s="312"/>
      <c r="B39" s="324" t="s">
        <v>1871</v>
      </c>
      <c r="C39" s="371"/>
      <c r="D39" s="371"/>
      <c r="E39" s="371"/>
      <c r="F39" s="371"/>
      <c r="G39" s="371">
        <v>3145</v>
      </c>
      <c r="H39" s="371"/>
      <c r="I39" s="368">
        <f t="shared" si="0"/>
        <v>3145</v>
      </c>
      <c r="J39" s="312"/>
      <c r="K39" s="98"/>
    </row>
    <row r="40" spans="1:11" x14ac:dyDescent="0.2">
      <c r="A40" s="312"/>
      <c r="B40" s="324" t="s">
        <v>1908</v>
      </c>
      <c r="C40" s="371"/>
      <c r="D40" s="371"/>
      <c r="E40" s="371"/>
      <c r="F40" s="371">
        <f>46664.26/1000</f>
        <v>46.664259999999999</v>
      </c>
      <c r="G40" s="371"/>
      <c r="H40" s="371"/>
      <c r="I40" s="368">
        <f t="shared" si="0"/>
        <v>46.664259999999999</v>
      </c>
      <c r="J40" s="312"/>
      <c r="K40" s="98"/>
    </row>
    <row r="41" spans="1:11" x14ac:dyDescent="0.2">
      <c r="A41" s="312"/>
      <c r="B41" s="324" t="s">
        <v>1872</v>
      </c>
      <c r="C41" s="371"/>
      <c r="D41" s="371"/>
      <c r="E41" s="371"/>
      <c r="F41" s="371"/>
      <c r="G41" s="371"/>
      <c r="H41" s="371">
        <v>1103</v>
      </c>
      <c r="I41" s="368">
        <f t="shared" si="0"/>
        <v>1103</v>
      </c>
      <c r="J41" s="312"/>
      <c r="K41" s="98"/>
    </row>
    <row r="42" spans="1:11" x14ac:dyDescent="0.2">
      <c r="A42" s="312"/>
      <c r="B42" s="322" t="s">
        <v>1905</v>
      </c>
      <c r="C42" s="368">
        <f>SUM(C36:C41)</f>
        <v>333984.25958000001</v>
      </c>
      <c r="D42" s="368">
        <f t="shared" ref="D42:H42" si="4">SUM(D36:D41)</f>
        <v>166.85168999999999</v>
      </c>
      <c r="E42" s="368">
        <f t="shared" si="4"/>
        <v>6411.06934</v>
      </c>
      <c r="F42" s="368">
        <f t="shared" si="4"/>
        <v>1652.66426</v>
      </c>
      <c r="G42" s="368">
        <f t="shared" si="4"/>
        <v>-4501</v>
      </c>
      <c r="H42" s="368">
        <f t="shared" si="4"/>
        <v>-79565</v>
      </c>
      <c r="I42" s="368">
        <f>SUM(C42:H42)</f>
        <v>258148.84486999997</v>
      </c>
      <c r="J42" s="316"/>
      <c r="K42" s="98"/>
    </row>
    <row r="43" spans="1:11" x14ac:dyDescent="0.2">
      <c r="A43" s="312"/>
      <c r="B43" s="322" t="s">
        <v>1913</v>
      </c>
      <c r="C43" s="368"/>
      <c r="D43" s="368"/>
      <c r="E43" s="368"/>
      <c r="F43" s="368"/>
      <c r="G43" s="368"/>
      <c r="H43" s="368">
        <v>58649</v>
      </c>
      <c r="I43" s="368">
        <f t="shared" si="0"/>
        <v>58649</v>
      </c>
      <c r="J43" s="316"/>
      <c r="K43" s="98"/>
    </row>
    <row r="44" spans="1:11" x14ac:dyDescent="0.2">
      <c r="A44" s="312"/>
      <c r="B44" s="323" t="s">
        <v>1906</v>
      </c>
      <c r="C44" s="371">
        <v>0</v>
      </c>
      <c r="D44" s="371">
        <v>0</v>
      </c>
      <c r="E44" s="371">
        <v>0</v>
      </c>
      <c r="F44" s="371"/>
      <c r="G44" s="371"/>
      <c r="H44" s="371"/>
      <c r="I44" s="368">
        <f t="shared" si="0"/>
        <v>0</v>
      </c>
      <c r="J44" s="316"/>
      <c r="K44" s="98"/>
    </row>
    <row r="45" spans="1:11" x14ac:dyDescent="0.2">
      <c r="A45" s="312"/>
      <c r="B45" s="324" t="s">
        <v>1871</v>
      </c>
      <c r="C45" s="371"/>
      <c r="D45" s="371"/>
      <c r="E45" s="371"/>
      <c r="F45" s="371"/>
      <c r="G45" s="371">
        <v>-648</v>
      </c>
      <c r="H45" s="371"/>
      <c r="I45" s="368">
        <f t="shared" si="0"/>
        <v>-648</v>
      </c>
      <c r="J45" s="316"/>
      <c r="K45" s="98"/>
    </row>
    <row r="46" spans="1:11" x14ac:dyDescent="0.2">
      <c r="A46" s="312"/>
      <c r="B46" s="324" t="s">
        <v>1908</v>
      </c>
      <c r="C46" s="371"/>
      <c r="D46" s="371"/>
      <c r="E46" s="371"/>
      <c r="F46" s="371">
        <v>54</v>
      </c>
      <c r="G46" s="371"/>
      <c r="H46" s="371"/>
      <c r="I46" s="368">
        <f t="shared" si="0"/>
        <v>54</v>
      </c>
      <c r="J46" s="316"/>
      <c r="K46" s="98"/>
    </row>
    <row r="47" spans="1:11" x14ac:dyDescent="0.2">
      <c r="A47" s="312"/>
      <c r="B47" s="324" t="s">
        <v>1872</v>
      </c>
      <c r="C47" s="371"/>
      <c r="D47" s="371"/>
      <c r="E47" s="371"/>
      <c r="F47" s="371"/>
      <c r="G47" s="371"/>
      <c r="H47" s="371">
        <v>1040</v>
      </c>
      <c r="I47" s="368">
        <f t="shared" si="0"/>
        <v>1040</v>
      </c>
      <c r="J47" s="316"/>
      <c r="K47" s="98"/>
    </row>
    <row r="48" spans="1:11" x14ac:dyDescent="0.2">
      <c r="A48" s="312"/>
      <c r="B48" s="322" t="s">
        <v>1912</v>
      </c>
      <c r="C48" s="368">
        <f t="shared" ref="C48:G48" si="5">SUM(C42:C47)</f>
        <v>333984.25958000001</v>
      </c>
      <c r="D48" s="368">
        <f t="shared" si="5"/>
        <v>166.85168999999999</v>
      </c>
      <c r="E48" s="368">
        <f t="shared" si="5"/>
        <v>6411.06934</v>
      </c>
      <c r="F48" s="368">
        <f t="shared" si="5"/>
        <v>1706.66426</v>
      </c>
      <c r="G48" s="368">
        <f t="shared" si="5"/>
        <v>-5149</v>
      </c>
      <c r="H48" s="368">
        <f>SUM(H42:H47)</f>
        <v>-19876</v>
      </c>
      <c r="I48" s="368">
        <f>SUM(C48:H48)</f>
        <v>317243.84486999997</v>
      </c>
      <c r="J48" s="316"/>
      <c r="K48" s="98"/>
    </row>
    <row r="49" spans="1:11" x14ac:dyDescent="0.2">
      <c r="A49" s="312"/>
      <c r="B49" s="322" t="s">
        <v>1934</v>
      </c>
      <c r="C49" s="368"/>
      <c r="D49" s="368"/>
      <c r="E49" s="368"/>
      <c r="F49" s="368"/>
      <c r="G49" s="368"/>
      <c r="H49" s="368">
        <v>1067</v>
      </c>
      <c r="I49" s="368">
        <f t="shared" ref="I49:I53" si="6">SUM(C49:H49)</f>
        <v>1067</v>
      </c>
      <c r="J49" s="316"/>
      <c r="K49" s="98"/>
    </row>
    <row r="50" spans="1:11" x14ac:dyDescent="0.2">
      <c r="A50" s="312"/>
      <c r="B50" s="323" t="s">
        <v>1906</v>
      </c>
      <c r="C50" s="371">
        <v>0</v>
      </c>
      <c r="D50" s="371">
        <v>0</v>
      </c>
      <c r="E50" s="371">
        <v>0</v>
      </c>
      <c r="F50" s="371"/>
      <c r="G50" s="371"/>
      <c r="H50" s="371"/>
      <c r="I50" s="368">
        <f t="shared" si="6"/>
        <v>0</v>
      </c>
      <c r="J50" s="316"/>
      <c r="K50" s="98"/>
    </row>
    <row r="51" spans="1:11" x14ac:dyDescent="0.2">
      <c r="A51" s="312"/>
      <c r="B51" s="324" t="s">
        <v>1871</v>
      </c>
      <c r="C51" s="371"/>
      <c r="D51" s="371"/>
      <c r="E51" s="371"/>
      <c r="F51" s="371"/>
      <c r="G51" s="371">
        <v>2137</v>
      </c>
      <c r="H51" s="371"/>
      <c r="I51" s="368">
        <f t="shared" si="6"/>
        <v>2137</v>
      </c>
      <c r="J51" s="316"/>
      <c r="K51" s="98"/>
    </row>
    <row r="52" spans="1:11" x14ac:dyDescent="0.2">
      <c r="A52" s="312"/>
      <c r="B52" s="324" t="s">
        <v>1908</v>
      </c>
      <c r="C52" s="371"/>
      <c r="D52" s="371"/>
      <c r="E52" s="371"/>
      <c r="F52" s="371">
        <v>54</v>
      </c>
      <c r="G52" s="371"/>
      <c r="H52" s="371"/>
      <c r="I52" s="368">
        <f t="shared" si="6"/>
        <v>54</v>
      </c>
      <c r="J52" s="316"/>
      <c r="K52" s="98"/>
    </row>
    <row r="53" spans="1:11" x14ac:dyDescent="0.2">
      <c r="A53" s="312"/>
      <c r="B53" s="324" t="s">
        <v>1872</v>
      </c>
      <c r="C53" s="371"/>
      <c r="D53" s="371"/>
      <c r="E53" s="371"/>
      <c r="F53" s="371"/>
      <c r="G53" s="371"/>
      <c r="H53" s="371">
        <v>1040</v>
      </c>
      <c r="I53" s="368">
        <f t="shared" si="6"/>
        <v>1040</v>
      </c>
      <c r="J53" s="316"/>
      <c r="K53" s="98"/>
    </row>
    <row r="54" spans="1:11" x14ac:dyDescent="0.2">
      <c r="A54" s="312"/>
      <c r="B54" s="322" t="s">
        <v>1933</v>
      </c>
      <c r="C54" s="368">
        <f t="shared" ref="C54:G54" si="7">SUM(C48:C53)</f>
        <v>333984.25958000001</v>
      </c>
      <c r="D54" s="368">
        <f t="shared" si="7"/>
        <v>166.85168999999999</v>
      </c>
      <c r="E54" s="368">
        <f t="shared" si="7"/>
        <v>6411.06934</v>
      </c>
      <c r="F54" s="368">
        <f t="shared" si="7"/>
        <v>1760.66426</v>
      </c>
      <c r="G54" s="368">
        <f t="shared" si="7"/>
        <v>-3012</v>
      </c>
      <c r="H54" s="368">
        <f>SUM(H48:H53)</f>
        <v>-17769</v>
      </c>
      <c r="I54" s="368">
        <v>321543</v>
      </c>
      <c r="J54" s="316"/>
      <c r="K54" s="98"/>
    </row>
    <row r="55" spans="1:11" x14ac:dyDescent="0.2">
      <c r="A55" s="312"/>
      <c r="B55" s="325"/>
      <c r="C55" s="326"/>
      <c r="D55" s="326"/>
      <c r="E55" s="326"/>
      <c r="F55" s="326"/>
      <c r="G55" s="326"/>
      <c r="H55" s="326"/>
      <c r="I55" s="326"/>
      <c r="J55" s="316"/>
      <c r="K55" s="98"/>
    </row>
    <row r="56" spans="1:11" x14ac:dyDescent="0.2">
      <c r="A56" s="312"/>
      <c r="B56" s="490" t="s">
        <v>53</v>
      </c>
      <c r="C56" s="490"/>
      <c r="D56" s="490"/>
      <c r="E56" s="490"/>
      <c r="F56" s="490"/>
      <c r="G56" s="490"/>
      <c r="H56" s="490"/>
      <c r="I56" s="490"/>
      <c r="J56" s="312"/>
    </row>
    <row r="57" spans="1:11" x14ac:dyDescent="0.2">
      <c r="A57" s="312"/>
      <c r="B57" s="312"/>
      <c r="C57" s="312"/>
      <c r="D57" s="312"/>
      <c r="E57" s="312"/>
      <c r="F57" s="312"/>
      <c r="G57" s="316"/>
      <c r="H57" s="312"/>
      <c r="I57" s="312"/>
      <c r="J57" s="312"/>
    </row>
    <row r="58" spans="1:11" x14ac:dyDescent="0.2">
      <c r="A58" s="312"/>
      <c r="B58" s="312"/>
      <c r="C58" s="312"/>
      <c r="D58" s="312"/>
      <c r="E58" s="312"/>
      <c r="F58" s="312"/>
      <c r="G58" s="312"/>
      <c r="H58" s="316"/>
      <c r="I58" s="312"/>
      <c r="J58" s="312"/>
    </row>
    <row r="59" spans="1:11" x14ac:dyDescent="0.2">
      <c r="A59" s="312"/>
      <c r="B59" s="312"/>
      <c r="C59" s="312"/>
      <c r="D59" s="312"/>
      <c r="E59" s="312"/>
      <c r="F59" s="312"/>
      <c r="G59" s="316"/>
      <c r="H59" s="316"/>
      <c r="I59" s="312"/>
      <c r="J59" s="312"/>
    </row>
    <row r="60" spans="1:11" x14ac:dyDescent="0.2">
      <c r="A60" s="312"/>
      <c r="B60" s="312"/>
      <c r="C60" s="312"/>
      <c r="D60" s="312"/>
      <c r="E60" s="312"/>
      <c r="F60" s="312"/>
      <c r="G60" s="312"/>
      <c r="H60" s="312"/>
      <c r="I60" s="312"/>
      <c r="J60" s="312"/>
    </row>
    <row r="61" spans="1:11" x14ac:dyDescent="0.2">
      <c r="A61" s="312"/>
      <c r="B61" s="312"/>
      <c r="C61" s="312"/>
      <c r="D61" s="312"/>
      <c r="E61" s="312"/>
      <c r="F61" s="312"/>
      <c r="G61" s="312"/>
      <c r="H61" s="316"/>
      <c r="I61" s="312"/>
      <c r="J61" s="312"/>
    </row>
    <row r="62" spans="1:11" x14ac:dyDescent="0.2">
      <c r="A62" s="312"/>
      <c r="B62" s="312"/>
      <c r="C62" s="312"/>
      <c r="D62" s="312"/>
      <c r="E62" s="312"/>
      <c r="F62" s="312"/>
      <c r="G62" s="312"/>
      <c r="H62" s="312"/>
      <c r="I62" s="312"/>
      <c r="J62" s="312"/>
    </row>
    <row r="63" spans="1:11" x14ac:dyDescent="0.2">
      <c r="H63" s="98"/>
    </row>
  </sheetData>
  <mergeCells count="8">
    <mergeCell ref="B56:I56"/>
    <mergeCell ref="C23:D23"/>
    <mergeCell ref="B14:I14"/>
    <mergeCell ref="B15:I15"/>
    <mergeCell ref="B17:I17"/>
    <mergeCell ref="B19:I19"/>
    <mergeCell ref="B20:I20"/>
    <mergeCell ref="B21:I21"/>
  </mergeCells>
  <printOptions horizontalCentered="1"/>
  <pageMargins left="0.47244094488188981" right="1.8110236220472442" top="0.78740157480314965" bottom="1.1811023622047245" header="1.1811023622047245" footer="1.299212598425197"/>
  <pageSetup paperSize="9" scale="6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7"/>
  <sheetViews>
    <sheetView showGridLines="0" view="pageBreakPreview" topLeftCell="A22" zoomScaleNormal="98" zoomScaleSheetLayoutView="100" workbookViewId="0">
      <selection activeCell="B14" sqref="B14:F42"/>
    </sheetView>
  </sheetViews>
  <sheetFormatPr defaultColWidth="11.42578125" defaultRowHeight="15" x14ac:dyDescent="0.25"/>
  <cols>
    <col min="1" max="1" width="3" style="48" customWidth="1"/>
    <col min="2" max="2" width="68.5703125" style="48" customWidth="1"/>
    <col min="3" max="3" width="12.5703125" style="48" customWidth="1"/>
    <col min="4" max="4" width="13" style="48" bestFit="1" customWidth="1"/>
    <col min="5" max="5" width="15.42578125" style="48" customWidth="1"/>
    <col min="6" max="6" width="15.42578125" style="48" bestFit="1" customWidth="1"/>
    <col min="7" max="7" width="2.28515625" style="48" customWidth="1"/>
    <col min="8" max="9" width="2.28515625" style="48" hidden="1" customWidth="1"/>
    <col min="10" max="10" width="7.42578125" style="48" customWidth="1"/>
    <col min="11" max="11" width="18.140625" style="48" bestFit="1" customWidth="1"/>
    <col min="12" max="12" width="2.28515625" style="48" customWidth="1"/>
    <col min="13" max="13" width="18.140625" style="48" bestFit="1" customWidth="1"/>
    <col min="14" max="14" width="2.28515625" style="48" customWidth="1"/>
    <col min="15" max="15" width="12.5703125" style="48" bestFit="1" customWidth="1"/>
    <col min="16" max="16" width="14.42578125" style="48" customWidth="1"/>
    <col min="17" max="17" width="14.42578125" style="48" bestFit="1" customWidth="1"/>
    <col min="18" max="18" width="13.28515625" style="48" bestFit="1" customWidth="1"/>
    <col min="19" max="19" width="12.5703125" style="48" bestFit="1" customWidth="1"/>
    <col min="20" max="20" width="11.42578125" style="48"/>
    <col min="21" max="21" width="12.5703125" style="48" bestFit="1" customWidth="1"/>
    <col min="22" max="216" width="11.42578125" style="48"/>
    <col min="217" max="217" width="44.85546875" style="48" customWidth="1"/>
    <col min="218" max="218" width="12.5703125" style="48" customWidth="1"/>
    <col min="219" max="221" width="0" style="48" hidden="1" customWidth="1"/>
    <col min="222" max="224" width="2.28515625" style="48" customWidth="1"/>
    <col min="225" max="225" width="14.5703125" style="48" customWidth="1"/>
    <col min="226" max="226" width="2.28515625" style="48" customWidth="1"/>
    <col min="227" max="227" width="14.5703125" style="48" customWidth="1"/>
    <col min="228" max="228" width="2.28515625" style="48" customWidth="1"/>
    <col min="229" max="472" width="11.42578125" style="48"/>
    <col min="473" max="473" width="44.85546875" style="48" customWidth="1"/>
    <col min="474" max="474" width="12.5703125" style="48" customWidth="1"/>
    <col min="475" max="477" width="0" style="48" hidden="1" customWidth="1"/>
    <col min="478" max="480" width="2.28515625" style="48" customWidth="1"/>
    <col min="481" max="481" width="14.5703125" style="48" customWidth="1"/>
    <col min="482" max="482" width="2.28515625" style="48" customWidth="1"/>
    <col min="483" max="483" width="14.5703125" style="48" customWidth="1"/>
    <col min="484" max="484" width="2.28515625" style="48" customWidth="1"/>
    <col min="485" max="728" width="11.42578125" style="48"/>
    <col min="729" max="729" width="44.85546875" style="48" customWidth="1"/>
    <col min="730" max="730" width="12.5703125" style="48" customWidth="1"/>
    <col min="731" max="733" width="0" style="48" hidden="1" customWidth="1"/>
    <col min="734" max="736" width="2.28515625" style="48" customWidth="1"/>
    <col min="737" max="737" width="14.5703125" style="48" customWidth="1"/>
    <col min="738" max="738" width="2.28515625" style="48" customWidth="1"/>
    <col min="739" max="739" width="14.5703125" style="48" customWidth="1"/>
    <col min="740" max="740" width="2.28515625" style="48" customWidth="1"/>
    <col min="741" max="984" width="11.42578125" style="48"/>
    <col min="985" max="985" width="44.85546875" style="48" customWidth="1"/>
    <col min="986" max="986" width="12.5703125" style="48" customWidth="1"/>
    <col min="987" max="989" width="0" style="48" hidden="1" customWidth="1"/>
    <col min="990" max="992" width="2.28515625" style="48" customWidth="1"/>
    <col min="993" max="993" width="14.5703125" style="48" customWidth="1"/>
    <col min="994" max="994" width="2.28515625" style="48" customWidth="1"/>
    <col min="995" max="995" width="14.5703125" style="48" customWidth="1"/>
    <col min="996" max="996" width="2.28515625" style="48" customWidth="1"/>
    <col min="997" max="1240" width="11.42578125" style="48"/>
    <col min="1241" max="1241" width="44.85546875" style="48" customWidth="1"/>
    <col min="1242" max="1242" width="12.5703125" style="48" customWidth="1"/>
    <col min="1243" max="1245" width="0" style="48" hidden="1" customWidth="1"/>
    <col min="1246" max="1248" width="2.28515625" style="48" customWidth="1"/>
    <col min="1249" max="1249" width="14.5703125" style="48" customWidth="1"/>
    <col min="1250" max="1250" width="2.28515625" style="48" customWidth="1"/>
    <col min="1251" max="1251" width="14.5703125" style="48" customWidth="1"/>
    <col min="1252" max="1252" width="2.28515625" style="48" customWidth="1"/>
    <col min="1253" max="1496" width="11.42578125" style="48"/>
    <col min="1497" max="1497" width="44.85546875" style="48" customWidth="1"/>
    <col min="1498" max="1498" width="12.5703125" style="48" customWidth="1"/>
    <col min="1499" max="1501" width="0" style="48" hidden="1" customWidth="1"/>
    <col min="1502" max="1504" width="2.28515625" style="48" customWidth="1"/>
    <col min="1505" max="1505" width="14.5703125" style="48" customWidth="1"/>
    <col min="1506" max="1506" width="2.28515625" style="48" customWidth="1"/>
    <col min="1507" max="1507" width="14.5703125" style="48" customWidth="1"/>
    <col min="1508" max="1508" width="2.28515625" style="48" customWidth="1"/>
    <col min="1509" max="1752" width="11.42578125" style="48"/>
    <col min="1753" max="1753" width="44.85546875" style="48" customWidth="1"/>
    <col min="1754" max="1754" width="12.5703125" style="48" customWidth="1"/>
    <col min="1755" max="1757" width="0" style="48" hidden="1" customWidth="1"/>
    <col min="1758" max="1760" width="2.28515625" style="48" customWidth="1"/>
    <col min="1761" max="1761" width="14.5703125" style="48" customWidth="1"/>
    <col min="1762" max="1762" width="2.28515625" style="48" customWidth="1"/>
    <col min="1763" max="1763" width="14.5703125" style="48" customWidth="1"/>
    <col min="1764" max="1764" width="2.28515625" style="48" customWidth="1"/>
    <col min="1765" max="2008" width="11.42578125" style="48"/>
    <col min="2009" max="2009" width="44.85546875" style="48" customWidth="1"/>
    <col min="2010" max="2010" width="12.5703125" style="48" customWidth="1"/>
    <col min="2011" max="2013" width="0" style="48" hidden="1" customWidth="1"/>
    <col min="2014" max="2016" width="2.28515625" style="48" customWidth="1"/>
    <col min="2017" max="2017" width="14.5703125" style="48" customWidth="1"/>
    <col min="2018" max="2018" width="2.28515625" style="48" customWidth="1"/>
    <col min="2019" max="2019" width="14.5703125" style="48" customWidth="1"/>
    <col min="2020" max="2020" width="2.28515625" style="48" customWidth="1"/>
    <col min="2021" max="2264" width="11.42578125" style="48"/>
    <col min="2265" max="2265" width="44.85546875" style="48" customWidth="1"/>
    <col min="2266" max="2266" width="12.5703125" style="48" customWidth="1"/>
    <col min="2267" max="2269" width="0" style="48" hidden="1" customWidth="1"/>
    <col min="2270" max="2272" width="2.28515625" style="48" customWidth="1"/>
    <col min="2273" max="2273" width="14.5703125" style="48" customWidth="1"/>
    <col min="2274" max="2274" width="2.28515625" style="48" customWidth="1"/>
    <col min="2275" max="2275" width="14.5703125" style="48" customWidth="1"/>
    <col min="2276" max="2276" width="2.28515625" style="48" customWidth="1"/>
    <col min="2277" max="2520" width="11.42578125" style="48"/>
    <col min="2521" max="2521" width="44.85546875" style="48" customWidth="1"/>
    <col min="2522" max="2522" width="12.5703125" style="48" customWidth="1"/>
    <col min="2523" max="2525" width="0" style="48" hidden="1" customWidth="1"/>
    <col min="2526" max="2528" width="2.28515625" style="48" customWidth="1"/>
    <col min="2529" max="2529" width="14.5703125" style="48" customWidth="1"/>
    <col min="2530" max="2530" width="2.28515625" style="48" customWidth="1"/>
    <col min="2531" max="2531" width="14.5703125" style="48" customWidth="1"/>
    <col min="2532" max="2532" width="2.28515625" style="48" customWidth="1"/>
    <col min="2533" max="2776" width="11.42578125" style="48"/>
    <col min="2777" max="2777" width="44.85546875" style="48" customWidth="1"/>
    <col min="2778" max="2778" width="12.5703125" style="48" customWidth="1"/>
    <col min="2779" max="2781" width="0" style="48" hidden="1" customWidth="1"/>
    <col min="2782" max="2784" width="2.28515625" style="48" customWidth="1"/>
    <col min="2785" max="2785" width="14.5703125" style="48" customWidth="1"/>
    <col min="2786" max="2786" width="2.28515625" style="48" customWidth="1"/>
    <col min="2787" max="2787" width="14.5703125" style="48" customWidth="1"/>
    <col min="2788" max="2788" width="2.28515625" style="48" customWidth="1"/>
    <col min="2789" max="3032" width="11.42578125" style="48"/>
    <col min="3033" max="3033" width="44.85546875" style="48" customWidth="1"/>
    <col min="3034" max="3034" width="12.5703125" style="48" customWidth="1"/>
    <col min="3035" max="3037" width="0" style="48" hidden="1" customWidth="1"/>
    <col min="3038" max="3040" width="2.28515625" style="48" customWidth="1"/>
    <col min="3041" max="3041" width="14.5703125" style="48" customWidth="1"/>
    <col min="3042" max="3042" width="2.28515625" style="48" customWidth="1"/>
    <col min="3043" max="3043" width="14.5703125" style="48" customWidth="1"/>
    <col min="3044" max="3044" width="2.28515625" style="48" customWidth="1"/>
    <col min="3045" max="3288" width="11.42578125" style="48"/>
    <col min="3289" max="3289" width="44.85546875" style="48" customWidth="1"/>
    <col min="3290" max="3290" width="12.5703125" style="48" customWidth="1"/>
    <col min="3291" max="3293" width="0" style="48" hidden="1" customWidth="1"/>
    <col min="3294" max="3296" width="2.28515625" style="48" customWidth="1"/>
    <col min="3297" max="3297" width="14.5703125" style="48" customWidth="1"/>
    <col min="3298" max="3298" width="2.28515625" style="48" customWidth="1"/>
    <col min="3299" max="3299" width="14.5703125" style="48" customWidth="1"/>
    <col min="3300" max="3300" width="2.28515625" style="48" customWidth="1"/>
    <col min="3301" max="3544" width="11.42578125" style="48"/>
    <col min="3545" max="3545" width="44.85546875" style="48" customWidth="1"/>
    <col min="3546" max="3546" width="12.5703125" style="48" customWidth="1"/>
    <col min="3547" max="3549" width="0" style="48" hidden="1" customWidth="1"/>
    <col min="3550" max="3552" width="2.28515625" style="48" customWidth="1"/>
    <col min="3553" max="3553" width="14.5703125" style="48" customWidth="1"/>
    <col min="3554" max="3554" width="2.28515625" style="48" customWidth="1"/>
    <col min="3555" max="3555" width="14.5703125" style="48" customWidth="1"/>
    <col min="3556" max="3556" width="2.28515625" style="48" customWidth="1"/>
    <col min="3557" max="3800" width="11.42578125" style="48"/>
    <col min="3801" max="3801" width="44.85546875" style="48" customWidth="1"/>
    <col min="3802" max="3802" width="12.5703125" style="48" customWidth="1"/>
    <col min="3803" max="3805" width="0" style="48" hidden="1" customWidth="1"/>
    <col min="3806" max="3808" width="2.28515625" style="48" customWidth="1"/>
    <col min="3809" max="3809" width="14.5703125" style="48" customWidth="1"/>
    <col min="3810" max="3810" width="2.28515625" style="48" customWidth="1"/>
    <col min="3811" max="3811" width="14.5703125" style="48" customWidth="1"/>
    <col min="3812" max="3812" width="2.28515625" style="48" customWidth="1"/>
    <col min="3813" max="4056" width="11.42578125" style="48"/>
    <col min="4057" max="4057" width="44.85546875" style="48" customWidth="1"/>
    <col min="4058" max="4058" width="12.5703125" style="48" customWidth="1"/>
    <col min="4059" max="4061" width="0" style="48" hidden="1" customWidth="1"/>
    <col min="4062" max="4064" width="2.28515625" style="48" customWidth="1"/>
    <col min="4065" max="4065" width="14.5703125" style="48" customWidth="1"/>
    <col min="4066" max="4066" width="2.28515625" style="48" customWidth="1"/>
    <col min="4067" max="4067" width="14.5703125" style="48" customWidth="1"/>
    <col min="4068" max="4068" width="2.28515625" style="48" customWidth="1"/>
    <col min="4069" max="4312" width="11.42578125" style="48"/>
    <col min="4313" max="4313" width="44.85546875" style="48" customWidth="1"/>
    <col min="4314" max="4314" width="12.5703125" style="48" customWidth="1"/>
    <col min="4315" max="4317" width="0" style="48" hidden="1" customWidth="1"/>
    <col min="4318" max="4320" width="2.28515625" style="48" customWidth="1"/>
    <col min="4321" max="4321" width="14.5703125" style="48" customWidth="1"/>
    <col min="4322" max="4322" width="2.28515625" style="48" customWidth="1"/>
    <col min="4323" max="4323" width="14.5703125" style="48" customWidth="1"/>
    <col min="4324" max="4324" width="2.28515625" style="48" customWidth="1"/>
    <col min="4325" max="4568" width="11.42578125" style="48"/>
    <col min="4569" max="4569" width="44.85546875" style="48" customWidth="1"/>
    <col min="4570" max="4570" width="12.5703125" style="48" customWidth="1"/>
    <col min="4571" max="4573" width="0" style="48" hidden="1" customWidth="1"/>
    <col min="4574" max="4576" width="2.28515625" style="48" customWidth="1"/>
    <col min="4577" max="4577" width="14.5703125" style="48" customWidth="1"/>
    <col min="4578" max="4578" width="2.28515625" style="48" customWidth="1"/>
    <col min="4579" max="4579" width="14.5703125" style="48" customWidth="1"/>
    <col min="4580" max="4580" width="2.28515625" style="48" customWidth="1"/>
    <col min="4581" max="4824" width="11.42578125" style="48"/>
    <col min="4825" max="4825" width="44.85546875" style="48" customWidth="1"/>
    <col min="4826" max="4826" width="12.5703125" style="48" customWidth="1"/>
    <col min="4827" max="4829" width="0" style="48" hidden="1" customWidth="1"/>
    <col min="4830" max="4832" width="2.28515625" style="48" customWidth="1"/>
    <col min="4833" max="4833" width="14.5703125" style="48" customWidth="1"/>
    <col min="4834" max="4834" width="2.28515625" style="48" customWidth="1"/>
    <col min="4835" max="4835" width="14.5703125" style="48" customWidth="1"/>
    <col min="4836" max="4836" width="2.28515625" style="48" customWidth="1"/>
    <col min="4837" max="5080" width="11.42578125" style="48"/>
    <col min="5081" max="5081" width="44.85546875" style="48" customWidth="1"/>
    <col min="5082" max="5082" width="12.5703125" style="48" customWidth="1"/>
    <col min="5083" max="5085" width="0" style="48" hidden="1" customWidth="1"/>
    <col min="5086" max="5088" width="2.28515625" style="48" customWidth="1"/>
    <col min="5089" max="5089" width="14.5703125" style="48" customWidth="1"/>
    <col min="5090" max="5090" width="2.28515625" style="48" customWidth="1"/>
    <col min="5091" max="5091" width="14.5703125" style="48" customWidth="1"/>
    <col min="5092" max="5092" width="2.28515625" style="48" customWidth="1"/>
    <col min="5093" max="5336" width="11.42578125" style="48"/>
    <col min="5337" max="5337" width="44.85546875" style="48" customWidth="1"/>
    <col min="5338" max="5338" width="12.5703125" style="48" customWidth="1"/>
    <col min="5339" max="5341" width="0" style="48" hidden="1" customWidth="1"/>
    <col min="5342" max="5344" width="2.28515625" style="48" customWidth="1"/>
    <col min="5345" max="5345" width="14.5703125" style="48" customWidth="1"/>
    <col min="5346" max="5346" width="2.28515625" style="48" customWidth="1"/>
    <col min="5347" max="5347" width="14.5703125" style="48" customWidth="1"/>
    <col min="5348" max="5348" width="2.28515625" style="48" customWidth="1"/>
    <col min="5349" max="5592" width="11.42578125" style="48"/>
    <col min="5593" max="5593" width="44.85546875" style="48" customWidth="1"/>
    <col min="5594" max="5594" width="12.5703125" style="48" customWidth="1"/>
    <col min="5595" max="5597" width="0" style="48" hidden="1" customWidth="1"/>
    <col min="5598" max="5600" width="2.28515625" style="48" customWidth="1"/>
    <col min="5601" max="5601" width="14.5703125" style="48" customWidth="1"/>
    <col min="5602" max="5602" width="2.28515625" style="48" customWidth="1"/>
    <col min="5603" max="5603" width="14.5703125" style="48" customWidth="1"/>
    <col min="5604" max="5604" width="2.28515625" style="48" customWidth="1"/>
    <col min="5605" max="5848" width="11.42578125" style="48"/>
    <col min="5849" max="5849" width="44.85546875" style="48" customWidth="1"/>
    <col min="5850" max="5850" width="12.5703125" style="48" customWidth="1"/>
    <col min="5851" max="5853" width="0" style="48" hidden="1" customWidth="1"/>
    <col min="5854" max="5856" width="2.28515625" style="48" customWidth="1"/>
    <col min="5857" max="5857" width="14.5703125" style="48" customWidth="1"/>
    <col min="5858" max="5858" width="2.28515625" style="48" customWidth="1"/>
    <col min="5859" max="5859" width="14.5703125" style="48" customWidth="1"/>
    <col min="5860" max="5860" width="2.28515625" style="48" customWidth="1"/>
    <col min="5861" max="6104" width="11.42578125" style="48"/>
    <col min="6105" max="6105" width="44.85546875" style="48" customWidth="1"/>
    <col min="6106" max="6106" width="12.5703125" style="48" customWidth="1"/>
    <col min="6107" max="6109" width="0" style="48" hidden="1" customWidth="1"/>
    <col min="6110" max="6112" width="2.28515625" style="48" customWidth="1"/>
    <col min="6113" max="6113" width="14.5703125" style="48" customWidth="1"/>
    <col min="6114" max="6114" width="2.28515625" style="48" customWidth="1"/>
    <col min="6115" max="6115" width="14.5703125" style="48" customWidth="1"/>
    <col min="6116" max="6116" width="2.28515625" style="48" customWidth="1"/>
    <col min="6117" max="6360" width="11.42578125" style="48"/>
    <col min="6361" max="6361" width="44.85546875" style="48" customWidth="1"/>
    <col min="6362" max="6362" width="12.5703125" style="48" customWidth="1"/>
    <col min="6363" max="6365" width="0" style="48" hidden="1" customWidth="1"/>
    <col min="6366" max="6368" width="2.28515625" style="48" customWidth="1"/>
    <col min="6369" max="6369" width="14.5703125" style="48" customWidth="1"/>
    <col min="6370" max="6370" width="2.28515625" style="48" customWidth="1"/>
    <col min="6371" max="6371" width="14.5703125" style="48" customWidth="1"/>
    <col min="6372" max="6372" width="2.28515625" style="48" customWidth="1"/>
    <col min="6373" max="6616" width="11.42578125" style="48"/>
    <col min="6617" max="6617" width="44.85546875" style="48" customWidth="1"/>
    <col min="6618" max="6618" width="12.5703125" style="48" customWidth="1"/>
    <col min="6619" max="6621" width="0" style="48" hidden="1" customWidth="1"/>
    <col min="6622" max="6624" width="2.28515625" style="48" customWidth="1"/>
    <col min="6625" max="6625" width="14.5703125" style="48" customWidth="1"/>
    <col min="6626" max="6626" width="2.28515625" style="48" customWidth="1"/>
    <col min="6627" max="6627" width="14.5703125" style="48" customWidth="1"/>
    <col min="6628" max="6628" width="2.28515625" style="48" customWidth="1"/>
    <col min="6629" max="6872" width="11.42578125" style="48"/>
    <col min="6873" max="6873" width="44.85546875" style="48" customWidth="1"/>
    <col min="6874" max="6874" width="12.5703125" style="48" customWidth="1"/>
    <col min="6875" max="6877" width="0" style="48" hidden="1" customWidth="1"/>
    <col min="6878" max="6880" width="2.28515625" style="48" customWidth="1"/>
    <col min="6881" max="6881" width="14.5703125" style="48" customWidth="1"/>
    <col min="6882" max="6882" width="2.28515625" style="48" customWidth="1"/>
    <col min="6883" max="6883" width="14.5703125" style="48" customWidth="1"/>
    <col min="6884" max="6884" width="2.28515625" style="48" customWidth="1"/>
    <col min="6885" max="7128" width="11.42578125" style="48"/>
    <col min="7129" max="7129" width="44.85546875" style="48" customWidth="1"/>
    <col min="7130" max="7130" width="12.5703125" style="48" customWidth="1"/>
    <col min="7131" max="7133" width="0" style="48" hidden="1" customWidth="1"/>
    <col min="7134" max="7136" width="2.28515625" style="48" customWidth="1"/>
    <col min="7137" max="7137" width="14.5703125" style="48" customWidth="1"/>
    <col min="7138" max="7138" width="2.28515625" style="48" customWidth="1"/>
    <col min="7139" max="7139" width="14.5703125" style="48" customWidth="1"/>
    <col min="7140" max="7140" width="2.28515625" style="48" customWidth="1"/>
    <col min="7141" max="7384" width="11.42578125" style="48"/>
    <col min="7385" max="7385" width="44.85546875" style="48" customWidth="1"/>
    <col min="7386" max="7386" width="12.5703125" style="48" customWidth="1"/>
    <col min="7387" max="7389" width="0" style="48" hidden="1" customWidth="1"/>
    <col min="7390" max="7392" width="2.28515625" style="48" customWidth="1"/>
    <col min="7393" max="7393" width="14.5703125" style="48" customWidth="1"/>
    <col min="7394" max="7394" width="2.28515625" style="48" customWidth="1"/>
    <col min="7395" max="7395" width="14.5703125" style="48" customWidth="1"/>
    <col min="7396" max="7396" width="2.28515625" style="48" customWidth="1"/>
    <col min="7397" max="7640" width="11.42578125" style="48"/>
    <col min="7641" max="7641" width="44.85546875" style="48" customWidth="1"/>
    <col min="7642" max="7642" width="12.5703125" style="48" customWidth="1"/>
    <col min="7643" max="7645" width="0" style="48" hidden="1" customWidth="1"/>
    <col min="7646" max="7648" width="2.28515625" style="48" customWidth="1"/>
    <col min="7649" max="7649" width="14.5703125" style="48" customWidth="1"/>
    <col min="7650" max="7650" width="2.28515625" style="48" customWidth="1"/>
    <col min="7651" max="7651" width="14.5703125" style="48" customWidth="1"/>
    <col min="7652" max="7652" width="2.28515625" style="48" customWidth="1"/>
    <col min="7653" max="7896" width="11.42578125" style="48"/>
    <col min="7897" max="7897" width="44.85546875" style="48" customWidth="1"/>
    <col min="7898" max="7898" width="12.5703125" style="48" customWidth="1"/>
    <col min="7899" max="7901" width="0" style="48" hidden="1" customWidth="1"/>
    <col min="7902" max="7904" width="2.28515625" style="48" customWidth="1"/>
    <col min="7905" max="7905" width="14.5703125" style="48" customWidth="1"/>
    <col min="7906" max="7906" width="2.28515625" style="48" customWidth="1"/>
    <col min="7907" max="7907" width="14.5703125" style="48" customWidth="1"/>
    <col min="7908" max="7908" width="2.28515625" style="48" customWidth="1"/>
    <col min="7909" max="8152" width="11.42578125" style="48"/>
    <col min="8153" max="8153" width="44.85546875" style="48" customWidth="1"/>
    <col min="8154" max="8154" width="12.5703125" style="48" customWidth="1"/>
    <col min="8155" max="8157" width="0" style="48" hidden="1" customWidth="1"/>
    <col min="8158" max="8160" width="2.28515625" style="48" customWidth="1"/>
    <col min="8161" max="8161" width="14.5703125" style="48" customWidth="1"/>
    <col min="8162" max="8162" width="2.28515625" style="48" customWidth="1"/>
    <col min="8163" max="8163" width="14.5703125" style="48" customWidth="1"/>
    <col min="8164" max="8164" width="2.28515625" style="48" customWidth="1"/>
    <col min="8165" max="8408" width="11.42578125" style="48"/>
    <col min="8409" max="8409" width="44.85546875" style="48" customWidth="1"/>
    <col min="8410" max="8410" width="12.5703125" style="48" customWidth="1"/>
    <col min="8411" max="8413" width="0" style="48" hidden="1" customWidth="1"/>
    <col min="8414" max="8416" width="2.28515625" style="48" customWidth="1"/>
    <col min="8417" max="8417" width="14.5703125" style="48" customWidth="1"/>
    <col min="8418" max="8418" width="2.28515625" style="48" customWidth="1"/>
    <col min="8419" max="8419" width="14.5703125" style="48" customWidth="1"/>
    <col min="8420" max="8420" width="2.28515625" style="48" customWidth="1"/>
    <col min="8421" max="8664" width="11.42578125" style="48"/>
    <col min="8665" max="8665" width="44.85546875" style="48" customWidth="1"/>
    <col min="8666" max="8666" width="12.5703125" style="48" customWidth="1"/>
    <col min="8667" max="8669" width="0" style="48" hidden="1" customWidth="1"/>
    <col min="8670" max="8672" width="2.28515625" style="48" customWidth="1"/>
    <col min="8673" max="8673" width="14.5703125" style="48" customWidth="1"/>
    <col min="8674" max="8674" width="2.28515625" style="48" customWidth="1"/>
    <col min="8675" max="8675" width="14.5703125" style="48" customWidth="1"/>
    <col min="8676" max="8676" width="2.28515625" style="48" customWidth="1"/>
    <col min="8677" max="8920" width="11.42578125" style="48"/>
    <col min="8921" max="8921" width="44.85546875" style="48" customWidth="1"/>
    <col min="8922" max="8922" width="12.5703125" style="48" customWidth="1"/>
    <col min="8923" max="8925" width="0" style="48" hidden="1" customWidth="1"/>
    <col min="8926" max="8928" width="2.28515625" style="48" customWidth="1"/>
    <col min="8929" max="8929" width="14.5703125" style="48" customWidth="1"/>
    <col min="8930" max="8930" width="2.28515625" style="48" customWidth="1"/>
    <col min="8931" max="8931" width="14.5703125" style="48" customWidth="1"/>
    <col min="8932" max="8932" width="2.28515625" style="48" customWidth="1"/>
    <col min="8933" max="9176" width="11.42578125" style="48"/>
    <col min="9177" max="9177" width="44.85546875" style="48" customWidth="1"/>
    <col min="9178" max="9178" width="12.5703125" style="48" customWidth="1"/>
    <col min="9179" max="9181" width="0" style="48" hidden="1" customWidth="1"/>
    <col min="9182" max="9184" width="2.28515625" style="48" customWidth="1"/>
    <col min="9185" max="9185" width="14.5703125" style="48" customWidth="1"/>
    <col min="9186" max="9186" width="2.28515625" style="48" customWidth="1"/>
    <col min="9187" max="9187" width="14.5703125" style="48" customWidth="1"/>
    <col min="9188" max="9188" width="2.28515625" style="48" customWidth="1"/>
    <col min="9189" max="9432" width="11.42578125" style="48"/>
    <col min="9433" max="9433" width="44.85546875" style="48" customWidth="1"/>
    <col min="9434" max="9434" width="12.5703125" style="48" customWidth="1"/>
    <col min="9435" max="9437" width="0" style="48" hidden="1" customWidth="1"/>
    <col min="9438" max="9440" width="2.28515625" style="48" customWidth="1"/>
    <col min="9441" max="9441" width="14.5703125" style="48" customWidth="1"/>
    <col min="9442" max="9442" width="2.28515625" style="48" customWidth="1"/>
    <col min="9443" max="9443" width="14.5703125" style="48" customWidth="1"/>
    <col min="9444" max="9444" width="2.28515625" style="48" customWidth="1"/>
    <col min="9445" max="9688" width="11.42578125" style="48"/>
    <col min="9689" max="9689" width="44.85546875" style="48" customWidth="1"/>
    <col min="9690" max="9690" width="12.5703125" style="48" customWidth="1"/>
    <col min="9691" max="9693" width="0" style="48" hidden="1" customWidth="1"/>
    <col min="9694" max="9696" width="2.28515625" style="48" customWidth="1"/>
    <col min="9697" max="9697" width="14.5703125" style="48" customWidth="1"/>
    <col min="9698" max="9698" width="2.28515625" style="48" customWidth="1"/>
    <col min="9699" max="9699" width="14.5703125" style="48" customWidth="1"/>
    <col min="9700" max="9700" width="2.28515625" style="48" customWidth="1"/>
    <col min="9701" max="9944" width="11.42578125" style="48"/>
    <col min="9945" max="9945" width="44.85546875" style="48" customWidth="1"/>
    <col min="9946" max="9946" width="12.5703125" style="48" customWidth="1"/>
    <col min="9947" max="9949" width="0" style="48" hidden="1" customWidth="1"/>
    <col min="9950" max="9952" width="2.28515625" style="48" customWidth="1"/>
    <col min="9953" max="9953" width="14.5703125" style="48" customWidth="1"/>
    <col min="9954" max="9954" width="2.28515625" style="48" customWidth="1"/>
    <col min="9955" max="9955" width="14.5703125" style="48" customWidth="1"/>
    <col min="9956" max="9956" width="2.28515625" style="48" customWidth="1"/>
    <col min="9957" max="10200" width="11.42578125" style="48"/>
    <col min="10201" max="10201" width="44.85546875" style="48" customWidth="1"/>
    <col min="10202" max="10202" width="12.5703125" style="48" customWidth="1"/>
    <col min="10203" max="10205" width="0" style="48" hidden="1" customWidth="1"/>
    <col min="10206" max="10208" width="2.28515625" style="48" customWidth="1"/>
    <col min="10209" max="10209" width="14.5703125" style="48" customWidth="1"/>
    <col min="10210" max="10210" width="2.28515625" style="48" customWidth="1"/>
    <col min="10211" max="10211" width="14.5703125" style="48" customWidth="1"/>
    <col min="10212" max="10212" width="2.28515625" style="48" customWidth="1"/>
    <col min="10213" max="10456" width="11.42578125" style="48"/>
    <col min="10457" max="10457" width="44.85546875" style="48" customWidth="1"/>
    <col min="10458" max="10458" width="12.5703125" style="48" customWidth="1"/>
    <col min="10459" max="10461" width="0" style="48" hidden="1" customWidth="1"/>
    <col min="10462" max="10464" width="2.28515625" style="48" customWidth="1"/>
    <col min="10465" max="10465" width="14.5703125" style="48" customWidth="1"/>
    <col min="10466" max="10466" width="2.28515625" style="48" customWidth="1"/>
    <col min="10467" max="10467" width="14.5703125" style="48" customWidth="1"/>
    <col min="10468" max="10468" width="2.28515625" style="48" customWidth="1"/>
    <col min="10469" max="10712" width="11.42578125" style="48"/>
    <col min="10713" max="10713" width="44.85546875" style="48" customWidth="1"/>
    <col min="10714" max="10714" width="12.5703125" style="48" customWidth="1"/>
    <col min="10715" max="10717" width="0" style="48" hidden="1" customWidth="1"/>
    <col min="10718" max="10720" width="2.28515625" style="48" customWidth="1"/>
    <col min="10721" max="10721" width="14.5703125" style="48" customWidth="1"/>
    <col min="10722" max="10722" width="2.28515625" style="48" customWidth="1"/>
    <col min="10723" max="10723" width="14.5703125" style="48" customWidth="1"/>
    <col min="10724" max="10724" width="2.28515625" style="48" customWidth="1"/>
    <col min="10725" max="10968" width="11.42578125" style="48"/>
    <col min="10969" max="10969" width="44.85546875" style="48" customWidth="1"/>
    <col min="10970" max="10970" width="12.5703125" style="48" customWidth="1"/>
    <col min="10971" max="10973" width="0" style="48" hidden="1" customWidth="1"/>
    <col min="10974" max="10976" width="2.28515625" style="48" customWidth="1"/>
    <col min="10977" max="10977" width="14.5703125" style="48" customWidth="1"/>
    <col min="10978" max="10978" width="2.28515625" style="48" customWidth="1"/>
    <col min="10979" max="10979" width="14.5703125" style="48" customWidth="1"/>
    <col min="10980" max="10980" width="2.28515625" style="48" customWidth="1"/>
    <col min="10981" max="11224" width="11.42578125" style="48"/>
    <col min="11225" max="11225" width="44.85546875" style="48" customWidth="1"/>
    <col min="11226" max="11226" width="12.5703125" style="48" customWidth="1"/>
    <col min="11227" max="11229" width="0" style="48" hidden="1" customWidth="1"/>
    <col min="11230" max="11232" width="2.28515625" style="48" customWidth="1"/>
    <col min="11233" max="11233" width="14.5703125" style="48" customWidth="1"/>
    <col min="11234" max="11234" width="2.28515625" style="48" customWidth="1"/>
    <col min="11235" max="11235" width="14.5703125" style="48" customWidth="1"/>
    <col min="11236" max="11236" width="2.28515625" style="48" customWidth="1"/>
    <col min="11237" max="11480" width="11.42578125" style="48"/>
    <col min="11481" max="11481" width="44.85546875" style="48" customWidth="1"/>
    <col min="11482" max="11482" width="12.5703125" style="48" customWidth="1"/>
    <col min="11483" max="11485" width="0" style="48" hidden="1" customWidth="1"/>
    <col min="11486" max="11488" width="2.28515625" style="48" customWidth="1"/>
    <col min="11489" max="11489" width="14.5703125" style="48" customWidth="1"/>
    <col min="11490" max="11490" width="2.28515625" style="48" customWidth="1"/>
    <col min="11491" max="11491" width="14.5703125" style="48" customWidth="1"/>
    <col min="11492" max="11492" width="2.28515625" style="48" customWidth="1"/>
    <col min="11493" max="11736" width="11.42578125" style="48"/>
    <col min="11737" max="11737" width="44.85546875" style="48" customWidth="1"/>
    <col min="11738" max="11738" width="12.5703125" style="48" customWidth="1"/>
    <col min="11739" max="11741" width="0" style="48" hidden="1" customWidth="1"/>
    <col min="11742" max="11744" width="2.28515625" style="48" customWidth="1"/>
    <col min="11745" max="11745" width="14.5703125" style="48" customWidth="1"/>
    <col min="11746" max="11746" width="2.28515625" style="48" customWidth="1"/>
    <col min="11747" max="11747" width="14.5703125" style="48" customWidth="1"/>
    <col min="11748" max="11748" width="2.28515625" style="48" customWidth="1"/>
    <col min="11749" max="11992" width="11.42578125" style="48"/>
    <col min="11993" max="11993" width="44.85546875" style="48" customWidth="1"/>
    <col min="11994" max="11994" width="12.5703125" style="48" customWidth="1"/>
    <col min="11995" max="11997" width="0" style="48" hidden="1" customWidth="1"/>
    <col min="11998" max="12000" width="2.28515625" style="48" customWidth="1"/>
    <col min="12001" max="12001" width="14.5703125" style="48" customWidth="1"/>
    <col min="12002" max="12002" width="2.28515625" style="48" customWidth="1"/>
    <col min="12003" max="12003" width="14.5703125" style="48" customWidth="1"/>
    <col min="12004" max="12004" width="2.28515625" style="48" customWidth="1"/>
    <col min="12005" max="12248" width="11.42578125" style="48"/>
    <col min="12249" max="12249" width="44.85546875" style="48" customWidth="1"/>
    <col min="12250" max="12250" width="12.5703125" style="48" customWidth="1"/>
    <col min="12251" max="12253" width="0" style="48" hidden="1" customWidth="1"/>
    <col min="12254" max="12256" width="2.28515625" style="48" customWidth="1"/>
    <col min="12257" max="12257" width="14.5703125" style="48" customWidth="1"/>
    <col min="12258" max="12258" width="2.28515625" style="48" customWidth="1"/>
    <col min="12259" max="12259" width="14.5703125" style="48" customWidth="1"/>
    <col min="12260" max="12260" width="2.28515625" style="48" customWidth="1"/>
    <col min="12261" max="12504" width="11.42578125" style="48"/>
    <col min="12505" max="12505" width="44.85546875" style="48" customWidth="1"/>
    <col min="12506" max="12506" width="12.5703125" style="48" customWidth="1"/>
    <col min="12507" max="12509" width="0" style="48" hidden="1" customWidth="1"/>
    <col min="12510" max="12512" width="2.28515625" style="48" customWidth="1"/>
    <col min="12513" max="12513" width="14.5703125" style="48" customWidth="1"/>
    <col min="12514" max="12514" width="2.28515625" style="48" customWidth="1"/>
    <col min="12515" max="12515" width="14.5703125" style="48" customWidth="1"/>
    <col min="12516" max="12516" width="2.28515625" style="48" customWidth="1"/>
    <col min="12517" max="12760" width="11.42578125" style="48"/>
    <col min="12761" max="12761" width="44.85546875" style="48" customWidth="1"/>
    <col min="12762" max="12762" width="12.5703125" style="48" customWidth="1"/>
    <col min="12763" max="12765" width="0" style="48" hidden="1" customWidth="1"/>
    <col min="12766" max="12768" width="2.28515625" style="48" customWidth="1"/>
    <col min="12769" max="12769" width="14.5703125" style="48" customWidth="1"/>
    <col min="12770" max="12770" width="2.28515625" style="48" customWidth="1"/>
    <col min="12771" max="12771" width="14.5703125" style="48" customWidth="1"/>
    <col min="12772" max="12772" width="2.28515625" style="48" customWidth="1"/>
    <col min="12773" max="13016" width="11.42578125" style="48"/>
    <col min="13017" max="13017" width="44.85546875" style="48" customWidth="1"/>
    <col min="13018" max="13018" width="12.5703125" style="48" customWidth="1"/>
    <col min="13019" max="13021" width="0" style="48" hidden="1" customWidth="1"/>
    <col min="13022" max="13024" width="2.28515625" style="48" customWidth="1"/>
    <col min="13025" max="13025" width="14.5703125" style="48" customWidth="1"/>
    <col min="13026" max="13026" width="2.28515625" style="48" customWidth="1"/>
    <col min="13027" max="13027" width="14.5703125" style="48" customWidth="1"/>
    <col min="13028" max="13028" width="2.28515625" style="48" customWidth="1"/>
    <col min="13029" max="13272" width="11.42578125" style="48"/>
    <col min="13273" max="13273" width="44.85546875" style="48" customWidth="1"/>
    <col min="13274" max="13274" width="12.5703125" style="48" customWidth="1"/>
    <col min="13275" max="13277" width="0" style="48" hidden="1" customWidth="1"/>
    <col min="13278" max="13280" width="2.28515625" style="48" customWidth="1"/>
    <col min="13281" max="13281" width="14.5703125" style="48" customWidth="1"/>
    <col min="13282" max="13282" width="2.28515625" style="48" customWidth="1"/>
    <col min="13283" max="13283" width="14.5703125" style="48" customWidth="1"/>
    <col min="13284" max="13284" width="2.28515625" style="48" customWidth="1"/>
    <col min="13285" max="13528" width="11.42578125" style="48"/>
    <col min="13529" max="13529" width="44.85546875" style="48" customWidth="1"/>
    <col min="13530" max="13530" width="12.5703125" style="48" customWidth="1"/>
    <col min="13531" max="13533" width="0" style="48" hidden="1" customWidth="1"/>
    <col min="13534" max="13536" width="2.28515625" style="48" customWidth="1"/>
    <col min="13537" max="13537" width="14.5703125" style="48" customWidth="1"/>
    <col min="13538" max="13538" width="2.28515625" style="48" customWidth="1"/>
    <col min="13539" max="13539" width="14.5703125" style="48" customWidth="1"/>
    <col min="13540" max="13540" width="2.28515625" style="48" customWidth="1"/>
    <col min="13541" max="13784" width="11.42578125" style="48"/>
    <col min="13785" max="13785" width="44.85546875" style="48" customWidth="1"/>
    <col min="13786" max="13786" width="12.5703125" style="48" customWidth="1"/>
    <col min="13787" max="13789" width="0" style="48" hidden="1" customWidth="1"/>
    <col min="13790" max="13792" width="2.28515625" style="48" customWidth="1"/>
    <col min="13793" max="13793" width="14.5703125" style="48" customWidth="1"/>
    <col min="13794" max="13794" width="2.28515625" style="48" customWidth="1"/>
    <col min="13795" max="13795" width="14.5703125" style="48" customWidth="1"/>
    <col min="13796" max="13796" width="2.28515625" style="48" customWidth="1"/>
    <col min="13797" max="14040" width="11.42578125" style="48"/>
    <col min="14041" max="14041" width="44.85546875" style="48" customWidth="1"/>
    <col min="14042" max="14042" width="12.5703125" style="48" customWidth="1"/>
    <col min="14043" max="14045" width="0" style="48" hidden="1" customWidth="1"/>
    <col min="14046" max="14048" width="2.28515625" style="48" customWidth="1"/>
    <col min="14049" max="14049" width="14.5703125" style="48" customWidth="1"/>
    <col min="14050" max="14050" width="2.28515625" style="48" customWidth="1"/>
    <col min="14051" max="14051" width="14.5703125" style="48" customWidth="1"/>
    <col min="14052" max="14052" width="2.28515625" style="48" customWidth="1"/>
    <col min="14053" max="14296" width="11.42578125" style="48"/>
    <col min="14297" max="14297" width="44.85546875" style="48" customWidth="1"/>
    <col min="14298" max="14298" width="12.5703125" style="48" customWidth="1"/>
    <col min="14299" max="14301" width="0" style="48" hidden="1" customWidth="1"/>
    <col min="14302" max="14304" width="2.28515625" style="48" customWidth="1"/>
    <col min="14305" max="14305" width="14.5703125" style="48" customWidth="1"/>
    <col min="14306" max="14306" width="2.28515625" style="48" customWidth="1"/>
    <col min="14307" max="14307" width="14.5703125" style="48" customWidth="1"/>
    <col min="14308" max="14308" width="2.28515625" style="48" customWidth="1"/>
    <col min="14309" max="14552" width="11.42578125" style="48"/>
    <col min="14553" max="14553" width="44.85546875" style="48" customWidth="1"/>
    <col min="14554" max="14554" width="12.5703125" style="48" customWidth="1"/>
    <col min="14555" max="14557" width="0" style="48" hidden="1" customWidth="1"/>
    <col min="14558" max="14560" width="2.28515625" style="48" customWidth="1"/>
    <col min="14561" max="14561" width="14.5703125" style="48" customWidth="1"/>
    <col min="14562" max="14562" width="2.28515625" style="48" customWidth="1"/>
    <col min="14563" max="14563" width="14.5703125" style="48" customWidth="1"/>
    <col min="14564" max="14564" width="2.28515625" style="48" customWidth="1"/>
    <col min="14565" max="14808" width="11.42578125" style="48"/>
    <col min="14809" max="14809" width="44.85546875" style="48" customWidth="1"/>
    <col min="14810" max="14810" width="12.5703125" style="48" customWidth="1"/>
    <col min="14811" max="14813" width="0" style="48" hidden="1" customWidth="1"/>
    <col min="14814" max="14816" width="2.28515625" style="48" customWidth="1"/>
    <col min="14817" max="14817" width="14.5703125" style="48" customWidth="1"/>
    <col min="14818" max="14818" width="2.28515625" style="48" customWidth="1"/>
    <col min="14819" max="14819" width="14.5703125" style="48" customWidth="1"/>
    <col min="14820" max="14820" width="2.28515625" style="48" customWidth="1"/>
    <col min="14821" max="15064" width="11.42578125" style="48"/>
    <col min="15065" max="15065" width="44.85546875" style="48" customWidth="1"/>
    <col min="15066" max="15066" width="12.5703125" style="48" customWidth="1"/>
    <col min="15067" max="15069" width="0" style="48" hidden="1" customWidth="1"/>
    <col min="15070" max="15072" width="2.28515625" style="48" customWidth="1"/>
    <col min="15073" max="15073" width="14.5703125" style="48" customWidth="1"/>
    <col min="15074" max="15074" width="2.28515625" style="48" customWidth="1"/>
    <col min="15075" max="15075" width="14.5703125" style="48" customWidth="1"/>
    <col min="15076" max="15076" width="2.28515625" style="48" customWidth="1"/>
    <col min="15077" max="15320" width="11.42578125" style="48"/>
    <col min="15321" max="15321" width="44.85546875" style="48" customWidth="1"/>
    <col min="15322" max="15322" width="12.5703125" style="48" customWidth="1"/>
    <col min="15323" max="15325" width="0" style="48" hidden="1" customWidth="1"/>
    <col min="15326" max="15328" width="2.28515625" style="48" customWidth="1"/>
    <col min="15329" max="15329" width="14.5703125" style="48" customWidth="1"/>
    <col min="15330" max="15330" width="2.28515625" style="48" customWidth="1"/>
    <col min="15331" max="15331" width="14.5703125" style="48" customWidth="1"/>
    <col min="15332" max="15332" width="2.28515625" style="48" customWidth="1"/>
    <col min="15333" max="15576" width="11.42578125" style="48"/>
    <col min="15577" max="15577" width="44.85546875" style="48" customWidth="1"/>
    <col min="15578" max="15578" width="12.5703125" style="48" customWidth="1"/>
    <col min="15579" max="15581" width="0" style="48" hidden="1" customWidth="1"/>
    <col min="15582" max="15584" width="2.28515625" style="48" customWidth="1"/>
    <col min="15585" max="15585" width="14.5703125" style="48" customWidth="1"/>
    <col min="15586" max="15586" width="2.28515625" style="48" customWidth="1"/>
    <col min="15587" max="15587" width="14.5703125" style="48" customWidth="1"/>
    <col min="15588" max="15588" width="2.28515625" style="48" customWidth="1"/>
    <col min="15589" max="15832" width="11.42578125" style="48"/>
    <col min="15833" max="15833" width="44.85546875" style="48" customWidth="1"/>
    <col min="15834" max="15834" width="12.5703125" style="48" customWidth="1"/>
    <col min="15835" max="15837" width="0" style="48" hidden="1" customWidth="1"/>
    <col min="15838" max="15840" width="2.28515625" style="48" customWidth="1"/>
    <col min="15841" max="15841" width="14.5703125" style="48" customWidth="1"/>
    <col min="15842" max="15842" width="2.28515625" style="48" customWidth="1"/>
    <col min="15843" max="15843" width="14.5703125" style="48" customWidth="1"/>
    <col min="15844" max="15844" width="2.28515625" style="48" customWidth="1"/>
    <col min="15845" max="16088" width="11.42578125" style="48"/>
    <col min="16089" max="16089" width="44.85546875" style="48" customWidth="1"/>
    <col min="16090" max="16090" width="12.5703125" style="48" customWidth="1"/>
    <col min="16091" max="16093" width="0" style="48" hidden="1" customWidth="1"/>
    <col min="16094" max="16096" width="2.28515625" style="48" customWidth="1"/>
    <col min="16097" max="16097" width="14.5703125" style="48" customWidth="1"/>
    <col min="16098" max="16098" width="2.28515625" style="48" customWidth="1"/>
    <col min="16099" max="16099" width="14.5703125" style="48" customWidth="1"/>
    <col min="16100" max="16100" width="2.28515625" style="48" customWidth="1"/>
    <col min="16101" max="16384" width="11.42578125" style="48"/>
  </cols>
  <sheetData>
    <row r="1" spans="2:14" ht="15" customHeight="1" x14ac:dyDescent="0.25"/>
    <row r="2" spans="2:14" ht="15" customHeight="1" x14ac:dyDescent="0.25"/>
    <row r="3" spans="2:14" ht="15" customHeight="1" x14ac:dyDescent="0.25"/>
    <row r="5" spans="2:14" ht="15" customHeight="1" x14ac:dyDescent="0.25"/>
    <row r="6" spans="2:14" ht="15" customHeight="1" x14ac:dyDescent="0.25"/>
    <row r="8" spans="2:14" ht="15.75" x14ac:dyDescent="0.25">
      <c r="B8" s="497" t="s">
        <v>0</v>
      </c>
      <c r="C8" s="497"/>
      <c r="D8" s="497"/>
      <c r="E8" s="497"/>
      <c r="F8" s="497"/>
      <c r="G8" s="238"/>
      <c r="H8" s="238"/>
      <c r="I8" s="238"/>
      <c r="J8" s="238"/>
      <c r="K8" s="238"/>
      <c r="L8" s="238"/>
      <c r="M8" s="238"/>
    </row>
    <row r="9" spans="2:14" ht="15.75" x14ac:dyDescent="0.25">
      <c r="B9" s="497" t="s">
        <v>1</v>
      </c>
      <c r="C9" s="497"/>
      <c r="D9" s="497"/>
      <c r="E9" s="497"/>
      <c r="F9" s="497"/>
      <c r="G9" s="238"/>
      <c r="H9" s="238"/>
      <c r="I9" s="238"/>
      <c r="J9" s="238"/>
      <c r="K9" s="238"/>
      <c r="L9" s="238"/>
      <c r="M9" s="238"/>
    </row>
    <row r="10" spans="2:14" ht="15.75" x14ac:dyDescent="0.25">
      <c r="B10" s="327"/>
      <c r="C10" s="327"/>
      <c r="D10" s="327"/>
      <c r="E10" s="327"/>
      <c r="F10" s="327"/>
      <c r="G10" s="236"/>
      <c r="H10" s="236"/>
      <c r="I10" s="236"/>
      <c r="J10" s="236"/>
      <c r="K10" s="49"/>
      <c r="L10" s="236"/>
      <c r="N10" s="236"/>
    </row>
    <row r="11" spans="2:14" ht="15.75" x14ac:dyDescent="0.25">
      <c r="B11" s="497" t="s">
        <v>2</v>
      </c>
      <c r="C11" s="497"/>
      <c r="D11" s="497"/>
      <c r="E11" s="497"/>
      <c r="F11" s="497"/>
      <c r="G11" s="238"/>
      <c r="H11" s="238"/>
      <c r="I11" s="238"/>
      <c r="J11" s="238"/>
      <c r="K11" s="238"/>
      <c r="L11" s="238"/>
      <c r="M11" s="238"/>
    </row>
    <row r="12" spans="2:14" ht="15.75" x14ac:dyDescent="0.25">
      <c r="B12" s="328"/>
      <c r="C12" s="328"/>
      <c r="D12" s="328"/>
      <c r="E12" s="328"/>
      <c r="F12" s="328"/>
      <c r="G12" s="228"/>
      <c r="H12" s="228"/>
      <c r="I12" s="228"/>
      <c r="J12" s="228"/>
      <c r="K12" s="49"/>
      <c r="L12" s="228"/>
      <c r="N12" s="228"/>
    </row>
    <row r="13" spans="2:14" ht="15.75" x14ac:dyDescent="0.25">
      <c r="B13" s="328"/>
      <c r="C13" s="328"/>
      <c r="D13" s="328"/>
      <c r="E13" s="328"/>
      <c r="F13" s="328"/>
      <c r="G13" s="228"/>
      <c r="H13" s="228"/>
      <c r="I13" s="228"/>
      <c r="J13" s="228"/>
      <c r="K13" s="49"/>
      <c r="L13" s="228"/>
      <c r="N13" s="228"/>
    </row>
    <row r="14" spans="2:14" ht="15.75" x14ac:dyDescent="0.25">
      <c r="B14" s="498" t="s">
        <v>1935</v>
      </c>
      <c r="C14" s="498"/>
      <c r="D14" s="498"/>
      <c r="E14" s="498"/>
      <c r="F14" s="498"/>
      <c r="G14" s="111"/>
      <c r="H14" s="111"/>
      <c r="I14" s="111"/>
      <c r="J14" s="111"/>
      <c r="K14" s="111"/>
      <c r="L14" s="111"/>
      <c r="M14" s="111"/>
      <c r="N14" s="111"/>
    </row>
    <row r="15" spans="2:14" ht="15.75" x14ac:dyDescent="0.25">
      <c r="B15" s="329"/>
      <c r="C15" s="329"/>
      <c r="D15" s="329"/>
      <c r="E15" s="329"/>
      <c r="F15" s="329"/>
      <c r="G15" s="111"/>
      <c r="H15" s="111"/>
      <c r="I15" s="111"/>
      <c r="J15" s="111"/>
      <c r="K15" s="111"/>
      <c r="L15" s="111"/>
      <c r="M15" s="111"/>
      <c r="N15" s="111"/>
    </row>
    <row r="16" spans="2:14" ht="15.75" x14ac:dyDescent="0.25">
      <c r="B16" s="330"/>
      <c r="C16" s="330"/>
      <c r="D16" s="330"/>
      <c r="E16" s="330"/>
      <c r="F16" s="330"/>
      <c r="G16" s="192"/>
      <c r="H16" s="192"/>
      <c r="I16" s="192"/>
      <c r="J16" s="192"/>
      <c r="K16" s="192"/>
      <c r="L16" s="192"/>
      <c r="M16" s="192"/>
      <c r="N16" s="192"/>
    </row>
    <row r="17" spans="2:24" ht="15.75" x14ac:dyDescent="0.25">
      <c r="B17" s="498" t="s">
        <v>1711</v>
      </c>
      <c r="C17" s="498"/>
      <c r="D17" s="498"/>
      <c r="E17" s="498"/>
      <c r="F17" s="498"/>
      <c r="G17" s="111"/>
      <c r="H17" s="111"/>
      <c r="I17" s="111"/>
      <c r="J17" s="111"/>
      <c r="K17" s="111"/>
      <c r="L17" s="111"/>
      <c r="M17" s="111"/>
      <c r="N17" s="111"/>
    </row>
    <row r="18" spans="2:24" ht="15.75" x14ac:dyDescent="0.25">
      <c r="B18" s="331"/>
      <c r="C18" s="331"/>
      <c r="D18" s="332"/>
      <c r="E18" s="331"/>
      <c r="F18" s="331"/>
    </row>
    <row r="19" spans="2:24" ht="18" x14ac:dyDescent="0.25">
      <c r="B19" s="333"/>
      <c r="C19" s="333"/>
      <c r="D19" s="365">
        <v>44562</v>
      </c>
      <c r="E19" s="333"/>
      <c r="F19" s="365">
        <v>44197</v>
      </c>
      <c r="G19" s="240"/>
      <c r="K19" s="119"/>
      <c r="L19" s="120"/>
      <c r="M19" s="205"/>
    </row>
    <row r="20" spans="2:24" ht="18" x14ac:dyDescent="0.25">
      <c r="B20" s="333"/>
      <c r="C20" s="333"/>
      <c r="D20" s="366" t="s">
        <v>1919</v>
      </c>
      <c r="E20" s="333"/>
      <c r="F20" s="366" t="s">
        <v>1919</v>
      </c>
      <c r="G20" s="240"/>
      <c r="K20" s="99"/>
      <c r="M20" s="207"/>
      <c r="N20" s="208"/>
      <c r="O20" s="207"/>
    </row>
    <row r="21" spans="2:24" ht="18" x14ac:dyDescent="0.25">
      <c r="B21" s="333"/>
      <c r="C21" s="333"/>
      <c r="D21" s="367">
        <v>44926</v>
      </c>
      <c r="E21" s="333"/>
      <c r="F21" s="367">
        <v>44561</v>
      </c>
      <c r="G21" s="240"/>
      <c r="K21" s="3"/>
      <c r="M21" s="209"/>
      <c r="N21" s="208"/>
      <c r="O21" s="209"/>
    </row>
    <row r="22" spans="2:24" ht="10.5" customHeight="1" x14ac:dyDescent="0.25">
      <c r="B22" s="334"/>
      <c r="C22" s="334"/>
      <c r="D22" s="335"/>
      <c r="E22" s="334"/>
      <c r="F22" s="338"/>
      <c r="G22" s="240"/>
      <c r="K22" s="2"/>
      <c r="M22" s="207"/>
      <c r="N22" s="208"/>
      <c r="O22" s="207"/>
    </row>
    <row r="23" spans="2:24" ht="18" x14ac:dyDescent="0.25">
      <c r="B23" s="336" t="s">
        <v>1922</v>
      </c>
      <c r="C23" s="334"/>
      <c r="D23" s="359">
        <v>53856</v>
      </c>
      <c r="E23" s="327"/>
      <c r="F23" s="359" t="s">
        <v>1923</v>
      </c>
      <c r="G23" s="241"/>
      <c r="H23" s="235"/>
      <c r="I23" s="235"/>
      <c r="J23" s="235"/>
      <c r="K23" s="4"/>
      <c r="L23" s="235"/>
      <c r="M23" s="210"/>
      <c r="N23" s="211"/>
      <c r="O23" s="210"/>
      <c r="W23" s="166"/>
      <c r="X23" s="166"/>
    </row>
    <row r="24" spans="2:24" ht="10.5" customHeight="1" x14ac:dyDescent="0.25">
      <c r="B24" s="334"/>
      <c r="C24" s="334"/>
      <c r="D24" s="360"/>
      <c r="E24" s="337"/>
      <c r="F24" s="361"/>
      <c r="G24" s="242"/>
      <c r="H24" s="51"/>
      <c r="I24" s="51"/>
      <c r="J24" s="51"/>
      <c r="K24" s="51"/>
      <c r="L24" s="51"/>
      <c r="M24" s="212"/>
      <c r="N24" s="212"/>
      <c r="O24" s="212"/>
      <c r="W24" s="166"/>
      <c r="X24" s="166"/>
    </row>
    <row r="25" spans="2:24" ht="18" x14ac:dyDescent="0.25">
      <c r="B25" s="336" t="s">
        <v>1920</v>
      </c>
      <c r="C25" s="329"/>
      <c r="D25" s="361">
        <f>D27+D28</f>
        <v>9092</v>
      </c>
      <c r="E25" s="338"/>
      <c r="F25" s="361">
        <f>F27+F28</f>
        <v>9295</v>
      </c>
      <c r="G25" s="243"/>
      <c r="H25" s="52"/>
      <c r="I25" s="52"/>
      <c r="J25" s="52"/>
      <c r="K25" s="53"/>
      <c r="L25" s="52"/>
      <c r="M25" s="214"/>
      <c r="N25" s="213"/>
      <c r="O25" s="214"/>
      <c r="Q25" s="201"/>
      <c r="W25" s="166"/>
      <c r="X25" s="166"/>
    </row>
    <row r="26" spans="2:24" ht="15.75" customHeight="1" x14ac:dyDescent="0.25">
      <c r="B26" s="336"/>
      <c r="C26" s="339"/>
      <c r="D26" s="362"/>
      <c r="E26" s="340"/>
      <c r="F26" s="361"/>
      <c r="G26" s="245"/>
      <c r="H26" s="147"/>
      <c r="I26" s="147"/>
      <c r="J26" s="147"/>
      <c r="K26" s="133"/>
      <c r="L26" s="133"/>
      <c r="M26" s="215"/>
      <c r="N26" s="214"/>
      <c r="O26" s="215"/>
      <c r="Q26" s="230"/>
      <c r="R26" s="230"/>
      <c r="S26" s="166"/>
      <c r="W26" s="166"/>
      <c r="X26" s="166"/>
    </row>
    <row r="27" spans="2:24" ht="18" x14ac:dyDescent="0.25">
      <c r="B27" s="336" t="s">
        <v>1917</v>
      </c>
      <c r="C27" s="339"/>
      <c r="D27" s="364">
        <v>4633</v>
      </c>
      <c r="E27" s="340"/>
      <c r="F27" s="364">
        <v>4250</v>
      </c>
      <c r="G27" s="244"/>
      <c r="H27" s="147"/>
      <c r="I27" s="147"/>
      <c r="J27" s="147"/>
      <c r="K27" s="132"/>
      <c r="L27" s="133"/>
      <c r="M27" s="216"/>
      <c r="N27" s="214"/>
      <c r="O27" s="216"/>
      <c r="Q27" s="230"/>
      <c r="R27" s="231"/>
      <c r="S27" s="166"/>
      <c r="W27" s="166"/>
      <c r="X27" s="166"/>
    </row>
    <row r="28" spans="2:24" ht="18" x14ac:dyDescent="0.25">
      <c r="B28" s="336" t="s">
        <v>1918</v>
      </c>
      <c r="C28" s="339"/>
      <c r="D28" s="364">
        <v>4459</v>
      </c>
      <c r="E28" s="340"/>
      <c r="F28" s="364">
        <v>5045</v>
      </c>
      <c r="G28" s="245"/>
      <c r="H28" s="133"/>
      <c r="I28" s="133"/>
      <c r="J28" s="133"/>
      <c r="K28" s="133"/>
      <c r="L28" s="133"/>
      <c r="M28" s="215"/>
      <c r="N28" s="215"/>
      <c r="O28" s="215"/>
      <c r="Q28" s="174"/>
      <c r="R28" s="166"/>
      <c r="S28" s="166"/>
      <c r="U28" s="69"/>
      <c r="W28" s="166"/>
      <c r="X28" s="166"/>
    </row>
    <row r="29" spans="2:24" ht="18" x14ac:dyDescent="0.25">
      <c r="B29" s="341"/>
      <c r="C29" s="342"/>
      <c r="D29" s="363"/>
      <c r="E29" s="344"/>
      <c r="F29" s="361"/>
      <c r="G29" s="244"/>
      <c r="H29" s="133"/>
      <c r="I29" s="133"/>
      <c r="J29" s="133"/>
      <c r="K29" s="132"/>
      <c r="L29" s="133"/>
      <c r="M29" s="216"/>
      <c r="N29" s="215"/>
      <c r="O29" s="216"/>
      <c r="Q29" s="231"/>
      <c r="R29" s="166"/>
      <c r="S29" s="166"/>
      <c r="U29" s="69"/>
      <c r="W29" s="166"/>
      <c r="X29" s="194"/>
    </row>
    <row r="30" spans="2:24" ht="18" x14ac:dyDescent="0.25">
      <c r="B30" s="345" t="s">
        <v>1921</v>
      </c>
      <c r="C30" s="342"/>
      <c r="D30" s="359">
        <f>D23+D25</f>
        <v>62948</v>
      </c>
      <c r="E30" s="344"/>
      <c r="F30" s="359">
        <f>F23+F25</f>
        <v>4561</v>
      </c>
      <c r="G30" s="245"/>
      <c r="H30" s="133"/>
      <c r="I30" s="133"/>
      <c r="J30" s="133"/>
      <c r="K30" s="133"/>
      <c r="L30" s="133"/>
      <c r="M30" s="215"/>
      <c r="N30" s="215"/>
      <c r="O30" s="215"/>
      <c r="Q30" s="166"/>
      <c r="R30" s="166"/>
      <c r="S30" s="166"/>
      <c r="U30" s="69"/>
      <c r="W30" s="166"/>
      <c r="X30" s="194"/>
    </row>
    <row r="31" spans="2:24" ht="18" x14ac:dyDescent="0.25">
      <c r="B31" s="341"/>
      <c r="C31" s="342"/>
      <c r="D31" s="343"/>
      <c r="E31" s="344"/>
      <c r="F31" s="363"/>
      <c r="G31" s="244"/>
      <c r="H31" s="133"/>
      <c r="I31" s="133"/>
      <c r="J31" s="133"/>
      <c r="K31" s="132"/>
      <c r="L31" s="133"/>
      <c r="M31" s="216"/>
      <c r="N31" s="215"/>
      <c r="O31" s="216"/>
      <c r="Q31" s="230"/>
      <c r="R31" s="166"/>
      <c r="S31" s="166"/>
      <c r="U31" s="69"/>
      <c r="W31" s="166"/>
      <c r="X31" s="194"/>
    </row>
    <row r="32" spans="2:24" ht="18" x14ac:dyDescent="0.25">
      <c r="B32" s="345"/>
      <c r="C32" s="342"/>
      <c r="D32" s="344"/>
      <c r="E32" s="344"/>
      <c r="F32" s="344"/>
      <c r="G32" s="245"/>
      <c r="H32" s="133"/>
      <c r="I32" s="133"/>
      <c r="J32" s="133"/>
      <c r="K32" s="133"/>
      <c r="L32" s="133"/>
      <c r="M32" s="215"/>
      <c r="N32" s="215"/>
      <c r="O32" s="215"/>
      <c r="Q32" s="231"/>
      <c r="R32" s="166"/>
      <c r="S32" s="166"/>
      <c r="U32" s="69"/>
      <c r="W32" s="166"/>
      <c r="X32" s="194"/>
    </row>
    <row r="33" spans="2:24" ht="18" x14ac:dyDescent="0.25">
      <c r="B33" s="346"/>
      <c r="C33" s="339"/>
      <c r="D33" s="347"/>
      <c r="E33" s="340"/>
      <c r="F33" s="347"/>
      <c r="G33" s="244"/>
      <c r="H33" s="133"/>
      <c r="I33" s="133"/>
      <c r="J33" s="133"/>
      <c r="K33" s="132"/>
      <c r="L33" s="133"/>
      <c r="M33" s="216"/>
      <c r="N33" s="215"/>
      <c r="O33" s="216"/>
      <c r="U33" s="69"/>
      <c r="W33" s="166"/>
      <c r="X33" s="194"/>
    </row>
    <row r="34" spans="2:24" ht="15" customHeight="1" x14ac:dyDescent="0.25">
      <c r="B34" s="472" t="s">
        <v>53</v>
      </c>
      <c r="C34" s="472"/>
      <c r="D34" s="472"/>
      <c r="E34" s="472"/>
      <c r="F34" s="472"/>
      <c r="G34" s="246"/>
      <c r="H34" s="239"/>
      <c r="I34" s="239"/>
      <c r="J34" s="239"/>
      <c r="K34" s="239"/>
      <c r="L34" s="239"/>
      <c r="M34" s="239"/>
      <c r="N34" s="239"/>
      <c r="O34" s="215"/>
      <c r="R34" s="166"/>
      <c r="S34" s="166"/>
      <c r="T34" s="166"/>
      <c r="U34" s="194"/>
      <c r="V34" s="166"/>
      <c r="W34" s="166"/>
      <c r="X34" s="194"/>
    </row>
    <row r="35" spans="2:24" ht="18" x14ac:dyDescent="0.25">
      <c r="B35" s="346"/>
      <c r="C35" s="339"/>
      <c r="D35" s="340"/>
      <c r="E35" s="340"/>
      <c r="F35" s="340"/>
      <c r="G35" s="245"/>
      <c r="H35" s="133"/>
      <c r="I35" s="133"/>
      <c r="J35" s="133"/>
      <c r="K35" s="133"/>
      <c r="L35" s="133"/>
      <c r="M35" s="215"/>
      <c r="N35" s="215"/>
      <c r="O35" s="215"/>
      <c r="R35" s="166"/>
      <c r="S35" s="166"/>
      <c r="T35" s="166"/>
      <c r="U35" s="194"/>
      <c r="V35" s="166"/>
      <c r="W35" s="166"/>
      <c r="X35" s="194"/>
    </row>
    <row r="36" spans="2:24" ht="15.75" x14ac:dyDescent="0.25">
      <c r="B36" s="348"/>
      <c r="C36" s="349"/>
      <c r="D36" s="350"/>
      <c r="E36" s="350"/>
      <c r="F36" s="350"/>
      <c r="G36" s="147"/>
      <c r="H36" s="133"/>
      <c r="I36" s="133"/>
      <c r="J36" s="133"/>
      <c r="K36" s="133"/>
      <c r="L36" s="133"/>
      <c r="M36" s="215"/>
      <c r="N36" s="215"/>
      <c r="O36" s="215"/>
      <c r="R36" s="166"/>
      <c r="S36" s="166"/>
      <c r="T36" s="166"/>
      <c r="U36" s="194"/>
      <c r="V36" s="166"/>
      <c r="W36" s="166"/>
      <c r="X36" s="194"/>
    </row>
    <row r="37" spans="2:24" ht="15.75" x14ac:dyDescent="0.25">
      <c r="B37" s="348"/>
      <c r="C37" s="349"/>
      <c r="D37" s="351"/>
      <c r="E37" s="352"/>
      <c r="F37" s="351"/>
      <c r="G37" s="148"/>
      <c r="H37" s="134"/>
      <c r="I37" s="134"/>
      <c r="J37" s="134"/>
      <c r="K37" s="132"/>
      <c r="L37" s="134"/>
      <c r="M37" s="216"/>
      <c r="N37" s="217"/>
      <c r="O37" s="216"/>
      <c r="R37" s="134"/>
      <c r="S37" s="166"/>
      <c r="T37" s="166"/>
      <c r="U37" s="194"/>
      <c r="V37" s="166"/>
      <c r="W37" s="166"/>
      <c r="X37" s="166"/>
    </row>
    <row r="38" spans="2:24" ht="15.75" x14ac:dyDescent="0.25">
      <c r="B38" s="353"/>
      <c r="C38" s="349"/>
      <c r="D38" s="351"/>
      <c r="E38" s="350"/>
      <c r="F38" s="351"/>
      <c r="G38" s="148"/>
      <c r="H38" s="133"/>
      <c r="I38" s="133"/>
      <c r="J38" s="133"/>
      <c r="K38" s="132"/>
      <c r="L38" s="133"/>
      <c r="M38" s="216"/>
      <c r="N38" s="215"/>
      <c r="O38" s="216"/>
      <c r="R38" s="166"/>
      <c r="S38" s="166"/>
      <c r="T38" s="166"/>
      <c r="U38" s="194"/>
      <c r="V38" s="166"/>
      <c r="W38" s="166"/>
      <c r="X38" s="166"/>
    </row>
    <row r="39" spans="2:24" ht="15.75" x14ac:dyDescent="0.25">
      <c r="B39" s="353"/>
      <c r="C39" s="349"/>
      <c r="D39" s="350"/>
      <c r="E39" s="350"/>
      <c r="F39" s="350"/>
      <c r="G39" s="147"/>
      <c r="H39" s="133"/>
      <c r="I39" s="133"/>
      <c r="J39" s="133"/>
      <c r="K39" s="133"/>
      <c r="L39" s="133"/>
      <c r="M39" s="215"/>
      <c r="N39" s="215"/>
      <c r="O39" s="215"/>
      <c r="R39" s="166"/>
      <c r="S39" s="166"/>
      <c r="T39" s="166"/>
      <c r="U39" s="194"/>
      <c r="V39" s="166"/>
      <c r="W39" s="166"/>
      <c r="X39" s="166"/>
    </row>
    <row r="40" spans="2:24" x14ac:dyDescent="0.25">
      <c r="B40" s="499" t="s">
        <v>1942</v>
      </c>
      <c r="C40" s="499"/>
      <c r="D40" s="499"/>
      <c r="E40" s="499"/>
      <c r="F40" s="499"/>
      <c r="G40" s="148"/>
      <c r="H40" s="133"/>
      <c r="I40" s="133"/>
      <c r="J40" s="133"/>
      <c r="K40" s="132"/>
      <c r="L40" s="133"/>
      <c r="M40" s="216"/>
      <c r="N40" s="215"/>
      <c r="O40" s="216"/>
      <c r="R40" s="166"/>
      <c r="S40" s="166"/>
      <c r="T40" s="166"/>
      <c r="U40" s="166"/>
      <c r="V40" s="166"/>
      <c r="W40" s="166"/>
      <c r="X40" s="166"/>
    </row>
    <row r="41" spans="2:24" ht="15.75" customHeight="1" x14ac:dyDescent="0.25">
      <c r="B41" s="499" t="s">
        <v>1943</v>
      </c>
      <c r="C41" s="499"/>
      <c r="D41" s="499"/>
      <c r="E41" s="499"/>
      <c r="F41" s="499"/>
      <c r="G41" s="168"/>
      <c r="H41" s="134"/>
      <c r="I41" s="134"/>
      <c r="J41" s="134"/>
      <c r="K41" s="134"/>
      <c r="L41" s="134"/>
      <c r="M41" s="217"/>
      <c r="N41" s="217"/>
      <c r="O41" s="217"/>
      <c r="R41" s="166"/>
      <c r="S41" s="134"/>
      <c r="T41" s="166"/>
      <c r="U41" s="194"/>
      <c r="V41" s="166"/>
      <c r="W41" s="166"/>
      <c r="X41" s="166"/>
    </row>
    <row r="42" spans="2:24" ht="15.75" customHeight="1" x14ac:dyDescent="0.25">
      <c r="B42" s="499" t="s">
        <v>1944</v>
      </c>
      <c r="C42" s="499"/>
      <c r="D42" s="499"/>
      <c r="E42" s="499"/>
      <c r="F42" s="499"/>
      <c r="G42" s="168"/>
      <c r="H42" s="134"/>
      <c r="I42" s="134"/>
      <c r="J42" s="134"/>
      <c r="K42" s="134"/>
      <c r="L42" s="134"/>
      <c r="M42" s="217"/>
      <c r="N42" s="217"/>
      <c r="O42" s="217"/>
      <c r="R42" s="166"/>
      <c r="S42" s="166"/>
      <c r="T42" s="166"/>
      <c r="U42" s="166"/>
      <c r="V42" s="166"/>
      <c r="W42" s="166"/>
    </row>
    <row r="43" spans="2:24" ht="15" hidden="1" customHeight="1" x14ac:dyDescent="0.25">
      <c r="B43" s="458" t="s">
        <v>1945</v>
      </c>
      <c r="C43" s="148"/>
      <c r="D43" s="132"/>
      <c r="E43" s="133"/>
      <c r="F43" s="132"/>
      <c r="G43" s="148"/>
      <c r="H43" s="133"/>
      <c r="I43" s="133"/>
      <c r="J43" s="133"/>
      <c r="K43" s="132"/>
      <c r="L43" s="133"/>
      <c r="M43" s="216"/>
      <c r="N43" s="215"/>
      <c r="O43" s="216"/>
      <c r="R43" s="166"/>
      <c r="S43" s="166"/>
      <c r="T43" s="166"/>
      <c r="U43" s="166"/>
      <c r="V43" s="166"/>
      <c r="W43" s="166"/>
    </row>
    <row r="44" spans="2:24" x14ac:dyDescent="0.25">
      <c r="B44" s="166"/>
      <c r="C44" s="148"/>
      <c r="D44" s="132"/>
      <c r="E44" s="133"/>
      <c r="F44" s="132"/>
      <c r="G44" s="148"/>
      <c r="H44" s="133"/>
      <c r="I44" s="133"/>
      <c r="J44" s="133"/>
      <c r="K44" s="132"/>
      <c r="L44" s="133"/>
      <c r="M44" s="216"/>
      <c r="N44" s="215"/>
      <c r="O44" s="216"/>
      <c r="R44" s="166"/>
      <c r="S44" s="194"/>
      <c r="T44" s="231"/>
      <c r="U44" s="166"/>
      <c r="V44" s="166"/>
      <c r="W44" s="166"/>
    </row>
    <row r="45" spans="2:24" x14ac:dyDescent="0.25">
      <c r="B45" s="165"/>
      <c r="C45" s="148"/>
      <c r="D45" s="133"/>
      <c r="E45" s="133"/>
      <c r="F45" s="133"/>
      <c r="G45" s="147"/>
      <c r="H45" s="133"/>
      <c r="I45" s="133"/>
      <c r="J45" s="133"/>
      <c r="K45" s="133"/>
      <c r="L45" s="133"/>
      <c r="M45" s="215"/>
      <c r="N45" s="215"/>
      <c r="O45" s="215"/>
      <c r="R45" s="166"/>
      <c r="S45" s="166"/>
      <c r="T45" s="166"/>
      <c r="U45" s="166"/>
      <c r="V45" s="166"/>
      <c r="W45" s="166"/>
    </row>
    <row r="46" spans="2:24" x14ac:dyDescent="0.25">
      <c r="B46" s="165"/>
      <c r="C46" s="148"/>
      <c r="D46" s="132"/>
      <c r="E46" s="133"/>
      <c r="F46" s="132"/>
      <c r="G46" s="148"/>
      <c r="H46" s="133"/>
      <c r="I46" s="133"/>
      <c r="J46" s="133"/>
      <c r="K46" s="132"/>
      <c r="L46" s="133"/>
      <c r="M46" s="216"/>
      <c r="N46" s="215"/>
      <c r="O46" s="216"/>
      <c r="R46" s="166"/>
      <c r="S46" s="166"/>
      <c r="T46" s="166"/>
      <c r="U46" s="166"/>
      <c r="V46" s="166"/>
      <c r="W46" s="166"/>
    </row>
    <row r="47" spans="2:24" ht="17.25" x14ac:dyDescent="0.4">
      <c r="B47" s="165"/>
      <c r="C47" s="148"/>
      <c r="D47" s="133"/>
      <c r="E47" s="61"/>
      <c r="F47" s="133"/>
      <c r="G47" s="147"/>
      <c r="H47" s="60"/>
      <c r="I47" s="60"/>
      <c r="J47" s="60"/>
      <c r="K47" s="133"/>
      <c r="L47" s="61"/>
      <c r="M47" s="215"/>
      <c r="N47" s="218"/>
      <c r="O47" s="215"/>
    </row>
    <row r="48" spans="2:24" ht="15" hidden="1" customHeight="1" x14ac:dyDescent="0.25">
      <c r="B48" s="165"/>
      <c r="C48" s="165"/>
      <c r="D48" s="151"/>
      <c r="E48" s="133"/>
      <c r="F48" s="151"/>
      <c r="G48" s="165"/>
      <c r="H48" s="133"/>
      <c r="I48" s="133"/>
      <c r="J48" s="133"/>
      <c r="K48" s="151"/>
      <c r="L48" s="133"/>
      <c r="M48" s="219"/>
      <c r="N48" s="215"/>
      <c r="O48" s="219"/>
    </row>
    <row r="49" spans="2:17" ht="15" hidden="1" customHeight="1" x14ac:dyDescent="0.25">
      <c r="B49" s="165"/>
      <c r="C49" s="165"/>
      <c r="D49" s="151"/>
      <c r="E49" s="133"/>
      <c r="F49" s="151"/>
      <c r="G49" s="165"/>
      <c r="H49" s="133"/>
      <c r="I49" s="133"/>
      <c r="J49" s="133"/>
      <c r="K49" s="151"/>
      <c r="L49" s="133"/>
      <c r="M49" s="219"/>
      <c r="N49" s="215"/>
      <c r="O49" s="219"/>
    </row>
    <row r="50" spans="2:17" ht="15" hidden="1" customHeight="1" x14ac:dyDescent="0.25">
      <c r="B50" s="167"/>
      <c r="C50" s="167"/>
      <c r="D50" s="152"/>
      <c r="E50" s="133"/>
      <c r="F50" s="152"/>
      <c r="G50" s="167"/>
      <c r="H50" s="133"/>
      <c r="I50" s="133"/>
      <c r="J50" s="133"/>
      <c r="K50" s="152"/>
      <c r="L50" s="133"/>
      <c r="M50" s="220"/>
      <c r="N50" s="215"/>
      <c r="O50" s="220"/>
    </row>
    <row r="51" spans="2:17" ht="15" hidden="1" customHeight="1" x14ac:dyDescent="0.25">
      <c r="B51" s="165"/>
      <c r="C51" s="165"/>
      <c r="D51" s="151"/>
      <c r="E51" s="133"/>
      <c r="F51" s="151"/>
      <c r="G51" s="165"/>
      <c r="H51" s="133"/>
      <c r="I51" s="133"/>
      <c r="J51" s="133"/>
      <c r="K51" s="151"/>
      <c r="L51" s="133"/>
      <c r="M51" s="219"/>
      <c r="N51" s="215"/>
      <c r="O51" s="219"/>
    </row>
    <row r="52" spans="2:17" ht="15" hidden="1" customHeight="1" x14ac:dyDescent="0.25">
      <c r="B52" s="166"/>
      <c r="C52" s="166"/>
      <c r="D52" s="134"/>
      <c r="E52" s="133"/>
      <c r="F52" s="134"/>
      <c r="G52" s="166"/>
      <c r="H52" s="133"/>
      <c r="I52" s="133"/>
      <c r="J52" s="133"/>
      <c r="K52" s="134"/>
      <c r="L52" s="133"/>
      <c r="M52" s="217"/>
      <c r="N52" s="215"/>
      <c r="O52" s="217"/>
    </row>
    <row r="53" spans="2:17" x14ac:dyDescent="0.25">
      <c r="B53" s="166"/>
      <c r="C53" s="166"/>
      <c r="D53" s="134"/>
      <c r="E53" s="133"/>
      <c r="F53" s="134"/>
      <c r="G53" s="166"/>
      <c r="H53" s="133"/>
      <c r="I53" s="133"/>
      <c r="J53" s="133"/>
      <c r="K53" s="134"/>
      <c r="L53" s="133"/>
      <c r="M53" s="217"/>
      <c r="N53" s="215"/>
      <c r="O53" s="217"/>
      <c r="Q53" s="69"/>
    </row>
    <row r="54" spans="2:17" x14ac:dyDescent="0.25">
      <c r="B54" s="165"/>
      <c r="C54" s="148"/>
      <c r="D54" s="135"/>
      <c r="E54" s="133"/>
      <c r="F54" s="135"/>
      <c r="G54" s="147"/>
      <c r="H54" s="135"/>
      <c r="I54" s="135"/>
      <c r="J54" s="135"/>
      <c r="K54" s="135"/>
      <c r="L54" s="133"/>
      <c r="M54" s="221"/>
      <c r="N54" s="221"/>
      <c r="O54" s="221"/>
      <c r="Q54" s="59"/>
    </row>
    <row r="55" spans="2:17" x14ac:dyDescent="0.25">
      <c r="B55" s="165"/>
      <c r="C55" s="165"/>
      <c r="D55" s="147"/>
      <c r="E55" s="147"/>
      <c r="F55" s="147"/>
      <c r="G55" s="147"/>
      <c r="H55" s="135"/>
      <c r="I55" s="135"/>
      <c r="J55" s="135"/>
      <c r="K55" s="135"/>
      <c r="L55" s="147"/>
      <c r="M55" s="222"/>
      <c r="N55" s="221"/>
      <c r="O55" s="208"/>
      <c r="P55" s="221"/>
      <c r="Q55" s="59"/>
    </row>
    <row r="56" spans="2:17" x14ac:dyDescent="0.25">
      <c r="B56" s="165"/>
      <c r="C56" s="165"/>
      <c r="D56" s="147"/>
      <c r="E56" s="147"/>
      <c r="F56" s="147"/>
      <c r="G56" s="147"/>
      <c r="H56" s="135"/>
      <c r="I56" s="135"/>
      <c r="J56" s="135"/>
      <c r="K56" s="135"/>
      <c r="L56" s="147"/>
      <c r="M56" s="222"/>
      <c r="N56" s="221"/>
      <c r="O56" s="208"/>
      <c r="P56" s="221"/>
      <c r="Q56" s="59"/>
    </row>
    <row r="57" spans="2:17" x14ac:dyDescent="0.25">
      <c r="B57" s="165"/>
      <c r="C57" s="165"/>
      <c r="D57" s="147"/>
      <c r="E57" s="147"/>
      <c r="F57" s="147"/>
      <c r="G57" s="147"/>
      <c r="H57" s="135"/>
      <c r="I57" s="135"/>
      <c r="J57" s="135"/>
      <c r="K57" s="135"/>
      <c r="L57" s="147"/>
      <c r="M57" s="222"/>
      <c r="N57" s="221"/>
      <c r="O57" s="208"/>
      <c r="P57" s="221"/>
      <c r="Q57" s="59"/>
    </row>
    <row r="58" spans="2:17" x14ac:dyDescent="0.25">
      <c r="B58" s="165"/>
      <c r="C58" s="165"/>
      <c r="D58" s="147"/>
      <c r="E58" s="147"/>
      <c r="F58" s="147"/>
      <c r="G58" s="147"/>
      <c r="H58" s="135"/>
      <c r="I58" s="135"/>
      <c r="J58" s="135"/>
      <c r="K58" s="135"/>
      <c r="L58" s="147"/>
      <c r="M58" s="222"/>
      <c r="N58" s="221"/>
      <c r="O58" s="208"/>
      <c r="P58" s="221"/>
      <c r="Q58" s="59"/>
    </row>
    <row r="59" spans="2:17" x14ac:dyDescent="0.25">
      <c r="B59" s="165"/>
      <c r="C59" s="165"/>
      <c r="D59" s="147"/>
      <c r="E59" s="147"/>
      <c r="F59" s="147"/>
      <c r="G59" s="147"/>
      <c r="H59" s="135"/>
      <c r="I59" s="135"/>
      <c r="J59" s="135"/>
      <c r="K59" s="135"/>
      <c r="L59" s="147"/>
      <c r="M59" s="222"/>
      <c r="N59" s="221"/>
      <c r="O59" s="208"/>
      <c r="P59" s="221"/>
      <c r="Q59" s="59"/>
    </row>
    <row r="60" spans="2:17" x14ac:dyDescent="0.25">
      <c r="B60" s="165"/>
      <c r="C60" s="165"/>
      <c r="D60" s="147"/>
      <c r="E60" s="147"/>
      <c r="F60" s="147"/>
      <c r="G60" s="147"/>
      <c r="H60" s="135"/>
      <c r="I60" s="135"/>
      <c r="J60" s="135"/>
      <c r="K60" s="135"/>
      <c r="L60" s="147"/>
      <c r="M60" s="222"/>
      <c r="N60" s="221"/>
      <c r="O60" s="208"/>
      <c r="P60" s="221"/>
      <c r="Q60" s="59"/>
    </row>
    <row r="61" spans="2:17" x14ac:dyDescent="0.25">
      <c r="B61" s="165"/>
      <c r="C61" s="165"/>
      <c r="D61" s="147"/>
      <c r="E61" s="147"/>
      <c r="F61" s="147"/>
      <c r="G61" s="147"/>
      <c r="H61" s="135"/>
      <c r="I61" s="135"/>
      <c r="J61" s="135"/>
      <c r="K61" s="135"/>
      <c r="L61" s="147"/>
      <c r="M61" s="222"/>
      <c r="N61" s="221"/>
      <c r="O61" s="208"/>
      <c r="P61" s="221"/>
      <c r="Q61" s="59"/>
    </row>
    <row r="62" spans="2:17" x14ac:dyDescent="0.25">
      <c r="B62" s="165"/>
      <c r="C62" s="165"/>
      <c r="D62" s="147"/>
      <c r="E62" s="147"/>
      <c r="F62" s="147"/>
      <c r="G62" s="147"/>
      <c r="H62" s="135"/>
      <c r="I62" s="135"/>
      <c r="J62" s="135"/>
      <c r="K62" s="135"/>
      <c r="L62" s="147"/>
      <c r="M62" s="222"/>
      <c r="N62" s="221"/>
      <c r="O62" s="208"/>
      <c r="P62" s="221"/>
      <c r="Q62" s="59"/>
    </row>
    <row r="63" spans="2:17" x14ac:dyDescent="0.25">
      <c r="B63" s="169"/>
      <c r="C63" s="169"/>
      <c r="D63" s="170"/>
      <c r="E63" s="169"/>
      <c r="F63" s="169"/>
      <c r="G63" s="169"/>
      <c r="H63" s="171"/>
      <c r="I63" s="171"/>
      <c r="J63" s="171"/>
      <c r="K63" s="172"/>
      <c r="L63" s="170"/>
      <c r="M63" s="173"/>
      <c r="N63" s="171"/>
      <c r="Q63" s="59"/>
    </row>
    <row r="64" spans="2:17" ht="15" customHeight="1" x14ac:dyDescent="0.25">
      <c r="B64" s="496"/>
      <c r="C64" s="496"/>
      <c r="D64" s="496"/>
      <c r="E64" s="496"/>
      <c r="F64" s="496"/>
      <c r="G64" s="496"/>
      <c r="H64" s="496"/>
      <c r="I64" s="496"/>
      <c r="J64" s="496"/>
      <c r="K64" s="496"/>
      <c r="L64" s="496"/>
      <c r="M64" s="496"/>
      <c r="N64" s="496"/>
      <c r="P64" s="59"/>
    </row>
    <row r="65" spans="2:16" x14ac:dyDescent="0.25">
      <c r="B65" s="169"/>
      <c r="C65" s="169"/>
      <c r="D65" s="169"/>
      <c r="E65" s="169"/>
      <c r="F65" s="169"/>
      <c r="G65" s="169"/>
      <c r="H65" s="169"/>
      <c r="I65" s="169"/>
      <c r="J65" s="169"/>
      <c r="K65" s="166"/>
      <c r="L65" s="169"/>
      <c r="M65" s="174"/>
      <c r="N65" s="169"/>
    </row>
    <row r="66" spans="2:16" x14ac:dyDescent="0.25">
      <c r="B66" s="169"/>
      <c r="C66" s="169"/>
      <c r="D66" s="169"/>
      <c r="E66" s="169"/>
      <c r="F66" s="169"/>
      <c r="G66" s="169"/>
      <c r="H66" s="169"/>
      <c r="I66" s="169"/>
      <c r="J66" s="169"/>
      <c r="K66" s="166"/>
      <c r="L66" s="169"/>
      <c r="M66" s="174"/>
      <c r="N66" s="169"/>
      <c r="P66" s="59"/>
    </row>
    <row r="67" spans="2:16" x14ac:dyDescent="0.25">
      <c r="B67" s="473"/>
      <c r="C67" s="473"/>
      <c r="D67" s="473"/>
      <c r="E67" s="473"/>
      <c r="F67" s="473"/>
      <c r="G67" s="473"/>
      <c r="H67" s="473"/>
      <c r="I67" s="166"/>
      <c r="J67" s="166"/>
      <c r="K67" s="174"/>
      <c r="L67" s="166"/>
      <c r="M67" s="134"/>
      <c r="N67" s="166"/>
    </row>
    <row r="68" spans="2:16" x14ac:dyDescent="0.25">
      <c r="B68" s="169"/>
      <c r="C68" s="169"/>
      <c r="D68" s="175"/>
      <c r="E68" s="175"/>
      <c r="F68" s="175"/>
      <c r="G68" s="175"/>
      <c r="H68" s="169"/>
      <c r="I68" s="169"/>
      <c r="J68" s="169"/>
      <c r="K68" s="174"/>
      <c r="L68" s="169"/>
      <c r="M68" s="166"/>
      <c r="N68" s="169"/>
      <c r="O68" s="70"/>
    </row>
    <row r="69" spans="2:16" x14ac:dyDescent="0.25">
      <c r="B69" s="166"/>
      <c r="C69" s="166"/>
      <c r="D69" s="194"/>
      <c r="E69" s="166"/>
      <c r="F69" s="194"/>
      <c r="G69" s="166"/>
      <c r="H69" s="166"/>
      <c r="I69" s="166"/>
      <c r="J69" s="166"/>
      <c r="K69" s="134"/>
      <c r="L69" s="166"/>
      <c r="M69" s="166"/>
      <c r="N69" s="166"/>
    </row>
    <row r="70" spans="2:16" x14ac:dyDescent="0.25">
      <c r="B70" s="169"/>
      <c r="C70" s="169"/>
      <c r="D70" s="175"/>
      <c r="E70" s="175"/>
      <c r="F70" s="175"/>
      <c r="G70" s="175"/>
      <c r="H70" s="169"/>
      <c r="I70" s="169"/>
      <c r="J70" s="169"/>
      <c r="K70" s="174"/>
      <c r="L70" s="169"/>
      <c r="M70" s="166"/>
      <c r="N70" s="169"/>
    </row>
    <row r="71" spans="2:16" x14ac:dyDescent="0.25">
      <c r="B71" s="169"/>
      <c r="C71" s="169"/>
      <c r="D71" s="175"/>
      <c r="E71" s="169"/>
      <c r="F71" s="169"/>
      <c r="G71" s="169"/>
      <c r="H71" s="169"/>
      <c r="I71" s="169"/>
      <c r="J71" s="169"/>
      <c r="K71" s="174"/>
      <c r="L71" s="169"/>
      <c r="M71" s="166"/>
      <c r="N71" s="169"/>
    </row>
    <row r="72" spans="2:16" x14ac:dyDescent="0.25">
      <c r="B72" s="169"/>
      <c r="C72" s="169"/>
      <c r="D72" s="169"/>
      <c r="E72" s="169"/>
      <c r="F72" s="169"/>
      <c r="G72" s="169"/>
      <c r="H72" s="169"/>
      <c r="I72" s="169"/>
      <c r="J72" s="169"/>
      <c r="K72" s="166"/>
      <c r="L72" s="169"/>
      <c r="M72" s="166"/>
      <c r="N72" s="169"/>
      <c r="O72" s="69"/>
    </row>
    <row r="73" spans="2:16" x14ac:dyDescent="0.25">
      <c r="B73" s="169"/>
      <c r="C73" s="169"/>
      <c r="D73" s="169"/>
      <c r="E73" s="169"/>
      <c r="F73" s="169"/>
      <c r="G73" s="169"/>
      <c r="H73" s="169"/>
      <c r="I73" s="169"/>
      <c r="J73" s="169"/>
      <c r="K73" s="166"/>
      <c r="L73" s="169"/>
      <c r="M73" s="166"/>
      <c r="N73" s="169"/>
    </row>
    <row r="74" spans="2:16" x14ac:dyDescent="0.25">
      <c r="B74" s="166"/>
      <c r="C74" s="166"/>
      <c r="D74" s="166"/>
      <c r="E74" s="166"/>
      <c r="F74" s="194"/>
      <c r="G74" s="166"/>
      <c r="H74" s="166"/>
      <c r="I74" s="166"/>
      <c r="J74" s="166"/>
      <c r="K74" s="166"/>
      <c r="L74" s="166"/>
      <c r="M74" s="166"/>
      <c r="N74" s="166"/>
    </row>
    <row r="75" spans="2:16" x14ac:dyDescent="0.25"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</row>
    <row r="76" spans="2:16" x14ac:dyDescent="0.25"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</row>
    <row r="77" spans="2:16" x14ac:dyDescent="0.25">
      <c r="B77" s="237"/>
      <c r="C77" s="237"/>
      <c r="D77" s="237"/>
      <c r="E77" s="237"/>
      <c r="F77" s="237"/>
      <c r="G77" s="237"/>
      <c r="H77" s="237"/>
      <c r="I77" s="237"/>
      <c r="J77" s="237"/>
      <c r="K77" s="166"/>
      <c r="L77" s="237"/>
      <c r="M77" s="166"/>
      <c r="N77" s="237"/>
    </row>
  </sheetData>
  <mergeCells count="11">
    <mergeCell ref="B34:F34"/>
    <mergeCell ref="B64:N64"/>
    <mergeCell ref="B67:H67"/>
    <mergeCell ref="B8:F8"/>
    <mergeCell ref="B9:F9"/>
    <mergeCell ref="B11:F11"/>
    <mergeCell ref="B14:F14"/>
    <mergeCell ref="B17:F17"/>
    <mergeCell ref="B40:F40"/>
    <mergeCell ref="B41:F41"/>
    <mergeCell ref="B42:F42"/>
  </mergeCells>
  <pageMargins left="0.98425196850393704" right="0.78740157480314965" top="2.4803149606299213" bottom="0.78740157480314965" header="0" footer="0"/>
  <pageSetup paperSize="9" scale="60" fitToHeight="0" orientation="portrait" r:id="rId1"/>
  <headerFooter alignWithMargins="0"/>
  <rowBreaks count="1" manualBreakCount="1">
    <brk id="64" min="1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84"/>
  <sheetViews>
    <sheetView showGridLines="0" topLeftCell="B49" zoomScale="154" zoomScaleNormal="154" workbookViewId="0">
      <selection activeCell="D86" sqref="D86"/>
    </sheetView>
  </sheetViews>
  <sheetFormatPr defaultRowHeight="12.75" x14ac:dyDescent="0.2"/>
  <cols>
    <col min="1" max="1" width="9.140625" style="71"/>
    <col min="2" max="2" width="46.85546875" style="71" customWidth="1"/>
    <col min="3" max="5" width="16.7109375" style="71" customWidth="1"/>
    <col min="6" max="6" width="13.42578125" style="71" customWidth="1"/>
    <col min="7" max="7" width="15.7109375" style="71" customWidth="1"/>
    <col min="8" max="8" width="15.28515625" style="71" customWidth="1"/>
    <col min="9" max="9" width="12.85546875" style="71" customWidth="1"/>
    <col min="10" max="10" width="13.42578125" style="71" bestFit="1" customWidth="1"/>
    <col min="11" max="253" width="9.140625" style="71"/>
    <col min="254" max="254" width="42.42578125" style="71" customWidth="1"/>
    <col min="255" max="261" width="16.7109375" style="71" customWidth="1"/>
    <col min="262" max="262" width="13.42578125" style="71" bestFit="1" customWidth="1"/>
    <col min="263" max="263" width="19.5703125" style="71" customWidth="1"/>
    <col min="264" max="509" width="9.140625" style="71"/>
    <col min="510" max="510" width="42.42578125" style="71" customWidth="1"/>
    <col min="511" max="517" width="16.7109375" style="71" customWidth="1"/>
    <col min="518" max="518" width="13.42578125" style="71" bestFit="1" customWidth="1"/>
    <col min="519" max="519" width="19.5703125" style="71" customWidth="1"/>
    <col min="520" max="765" width="9.140625" style="71"/>
    <col min="766" max="766" width="42.42578125" style="71" customWidth="1"/>
    <col min="767" max="773" width="16.7109375" style="71" customWidth="1"/>
    <col min="774" max="774" width="13.42578125" style="71" bestFit="1" customWidth="1"/>
    <col min="775" max="775" width="19.5703125" style="71" customWidth="1"/>
    <col min="776" max="1021" width="9.140625" style="71"/>
    <col min="1022" max="1022" width="42.42578125" style="71" customWidth="1"/>
    <col min="1023" max="1029" width="16.7109375" style="71" customWidth="1"/>
    <col min="1030" max="1030" width="13.42578125" style="71" bestFit="1" customWidth="1"/>
    <col min="1031" max="1031" width="19.5703125" style="71" customWidth="1"/>
    <col min="1032" max="1277" width="9.140625" style="71"/>
    <col min="1278" max="1278" width="42.42578125" style="71" customWidth="1"/>
    <col min="1279" max="1285" width="16.7109375" style="71" customWidth="1"/>
    <col min="1286" max="1286" width="13.42578125" style="71" bestFit="1" customWidth="1"/>
    <col min="1287" max="1287" width="19.5703125" style="71" customWidth="1"/>
    <col min="1288" max="1533" width="9.140625" style="71"/>
    <col min="1534" max="1534" width="42.42578125" style="71" customWidth="1"/>
    <col min="1535" max="1541" width="16.7109375" style="71" customWidth="1"/>
    <col min="1542" max="1542" width="13.42578125" style="71" bestFit="1" customWidth="1"/>
    <col min="1543" max="1543" width="19.5703125" style="71" customWidth="1"/>
    <col min="1544" max="1789" width="9.140625" style="71"/>
    <col min="1790" max="1790" width="42.42578125" style="71" customWidth="1"/>
    <col min="1791" max="1797" width="16.7109375" style="71" customWidth="1"/>
    <col min="1798" max="1798" width="13.42578125" style="71" bestFit="1" customWidth="1"/>
    <col min="1799" max="1799" width="19.5703125" style="71" customWidth="1"/>
    <col min="1800" max="2045" width="9.140625" style="71"/>
    <col min="2046" max="2046" width="42.42578125" style="71" customWidth="1"/>
    <col min="2047" max="2053" width="16.7109375" style="71" customWidth="1"/>
    <col min="2054" max="2054" width="13.42578125" style="71" bestFit="1" customWidth="1"/>
    <col min="2055" max="2055" width="19.5703125" style="71" customWidth="1"/>
    <col min="2056" max="2301" width="9.140625" style="71"/>
    <col min="2302" max="2302" width="42.42578125" style="71" customWidth="1"/>
    <col min="2303" max="2309" width="16.7109375" style="71" customWidth="1"/>
    <col min="2310" max="2310" width="13.42578125" style="71" bestFit="1" customWidth="1"/>
    <col min="2311" max="2311" width="19.5703125" style="71" customWidth="1"/>
    <col min="2312" max="2557" width="9.140625" style="71"/>
    <col min="2558" max="2558" width="42.42578125" style="71" customWidth="1"/>
    <col min="2559" max="2565" width="16.7109375" style="71" customWidth="1"/>
    <col min="2566" max="2566" width="13.42578125" style="71" bestFit="1" customWidth="1"/>
    <col min="2567" max="2567" width="19.5703125" style="71" customWidth="1"/>
    <col min="2568" max="2813" width="9.140625" style="71"/>
    <col min="2814" max="2814" width="42.42578125" style="71" customWidth="1"/>
    <col min="2815" max="2821" width="16.7109375" style="71" customWidth="1"/>
    <col min="2822" max="2822" width="13.42578125" style="71" bestFit="1" customWidth="1"/>
    <col min="2823" max="2823" width="19.5703125" style="71" customWidth="1"/>
    <col min="2824" max="3069" width="9.140625" style="71"/>
    <col min="3070" max="3070" width="42.42578125" style="71" customWidth="1"/>
    <col min="3071" max="3077" width="16.7109375" style="71" customWidth="1"/>
    <col min="3078" max="3078" width="13.42578125" style="71" bestFit="1" customWidth="1"/>
    <col min="3079" max="3079" width="19.5703125" style="71" customWidth="1"/>
    <col min="3080" max="3325" width="9.140625" style="71"/>
    <col min="3326" max="3326" width="42.42578125" style="71" customWidth="1"/>
    <col min="3327" max="3333" width="16.7109375" style="71" customWidth="1"/>
    <col min="3334" max="3334" width="13.42578125" style="71" bestFit="1" customWidth="1"/>
    <col min="3335" max="3335" width="19.5703125" style="71" customWidth="1"/>
    <col min="3336" max="3581" width="9.140625" style="71"/>
    <col min="3582" max="3582" width="42.42578125" style="71" customWidth="1"/>
    <col min="3583" max="3589" width="16.7109375" style="71" customWidth="1"/>
    <col min="3590" max="3590" width="13.42578125" style="71" bestFit="1" customWidth="1"/>
    <col min="3591" max="3591" width="19.5703125" style="71" customWidth="1"/>
    <col min="3592" max="3837" width="9.140625" style="71"/>
    <col min="3838" max="3838" width="42.42578125" style="71" customWidth="1"/>
    <col min="3839" max="3845" width="16.7109375" style="71" customWidth="1"/>
    <col min="3846" max="3846" width="13.42578125" style="71" bestFit="1" customWidth="1"/>
    <col min="3847" max="3847" width="19.5703125" style="71" customWidth="1"/>
    <col min="3848" max="4093" width="9.140625" style="71"/>
    <col min="4094" max="4094" width="42.42578125" style="71" customWidth="1"/>
    <col min="4095" max="4101" width="16.7109375" style="71" customWidth="1"/>
    <col min="4102" max="4102" width="13.42578125" style="71" bestFit="1" customWidth="1"/>
    <col min="4103" max="4103" width="19.5703125" style="71" customWidth="1"/>
    <col min="4104" max="4349" width="9.140625" style="71"/>
    <col min="4350" max="4350" width="42.42578125" style="71" customWidth="1"/>
    <col min="4351" max="4357" width="16.7109375" style="71" customWidth="1"/>
    <col min="4358" max="4358" width="13.42578125" style="71" bestFit="1" customWidth="1"/>
    <col min="4359" max="4359" width="19.5703125" style="71" customWidth="1"/>
    <col min="4360" max="4605" width="9.140625" style="71"/>
    <col min="4606" max="4606" width="42.42578125" style="71" customWidth="1"/>
    <col min="4607" max="4613" width="16.7109375" style="71" customWidth="1"/>
    <col min="4614" max="4614" width="13.42578125" style="71" bestFit="1" customWidth="1"/>
    <col min="4615" max="4615" width="19.5703125" style="71" customWidth="1"/>
    <col min="4616" max="4861" width="9.140625" style="71"/>
    <col min="4862" max="4862" width="42.42578125" style="71" customWidth="1"/>
    <col min="4863" max="4869" width="16.7109375" style="71" customWidth="1"/>
    <col min="4870" max="4870" width="13.42578125" style="71" bestFit="1" customWidth="1"/>
    <col min="4871" max="4871" width="19.5703125" style="71" customWidth="1"/>
    <col min="4872" max="5117" width="9.140625" style="71"/>
    <col min="5118" max="5118" width="42.42578125" style="71" customWidth="1"/>
    <col min="5119" max="5125" width="16.7109375" style="71" customWidth="1"/>
    <col min="5126" max="5126" width="13.42578125" style="71" bestFit="1" customWidth="1"/>
    <col min="5127" max="5127" width="19.5703125" style="71" customWidth="1"/>
    <col min="5128" max="5373" width="9.140625" style="71"/>
    <col min="5374" max="5374" width="42.42578125" style="71" customWidth="1"/>
    <col min="5375" max="5381" width="16.7109375" style="71" customWidth="1"/>
    <col min="5382" max="5382" width="13.42578125" style="71" bestFit="1" customWidth="1"/>
    <col min="5383" max="5383" width="19.5703125" style="71" customWidth="1"/>
    <col min="5384" max="5629" width="9.140625" style="71"/>
    <col min="5630" max="5630" width="42.42578125" style="71" customWidth="1"/>
    <col min="5631" max="5637" width="16.7109375" style="71" customWidth="1"/>
    <col min="5638" max="5638" width="13.42578125" style="71" bestFit="1" customWidth="1"/>
    <col min="5639" max="5639" width="19.5703125" style="71" customWidth="1"/>
    <col min="5640" max="5885" width="9.140625" style="71"/>
    <col min="5886" max="5886" width="42.42578125" style="71" customWidth="1"/>
    <col min="5887" max="5893" width="16.7109375" style="71" customWidth="1"/>
    <col min="5894" max="5894" width="13.42578125" style="71" bestFit="1" customWidth="1"/>
    <col min="5895" max="5895" width="19.5703125" style="71" customWidth="1"/>
    <col min="5896" max="6141" width="9.140625" style="71"/>
    <col min="6142" max="6142" width="42.42578125" style="71" customWidth="1"/>
    <col min="6143" max="6149" width="16.7109375" style="71" customWidth="1"/>
    <col min="6150" max="6150" width="13.42578125" style="71" bestFit="1" customWidth="1"/>
    <col min="6151" max="6151" width="19.5703125" style="71" customWidth="1"/>
    <col min="6152" max="6397" width="9.140625" style="71"/>
    <col min="6398" max="6398" width="42.42578125" style="71" customWidth="1"/>
    <col min="6399" max="6405" width="16.7109375" style="71" customWidth="1"/>
    <col min="6406" max="6406" width="13.42578125" style="71" bestFit="1" customWidth="1"/>
    <col min="6407" max="6407" width="19.5703125" style="71" customWidth="1"/>
    <col min="6408" max="6653" width="9.140625" style="71"/>
    <col min="6654" max="6654" width="42.42578125" style="71" customWidth="1"/>
    <col min="6655" max="6661" width="16.7109375" style="71" customWidth="1"/>
    <col min="6662" max="6662" width="13.42578125" style="71" bestFit="1" customWidth="1"/>
    <col min="6663" max="6663" width="19.5703125" style="71" customWidth="1"/>
    <col min="6664" max="6909" width="9.140625" style="71"/>
    <col min="6910" max="6910" width="42.42578125" style="71" customWidth="1"/>
    <col min="6911" max="6917" width="16.7109375" style="71" customWidth="1"/>
    <col min="6918" max="6918" width="13.42578125" style="71" bestFit="1" customWidth="1"/>
    <col min="6919" max="6919" width="19.5703125" style="71" customWidth="1"/>
    <col min="6920" max="7165" width="9.140625" style="71"/>
    <col min="7166" max="7166" width="42.42578125" style="71" customWidth="1"/>
    <col min="7167" max="7173" width="16.7109375" style="71" customWidth="1"/>
    <col min="7174" max="7174" width="13.42578125" style="71" bestFit="1" customWidth="1"/>
    <col min="7175" max="7175" width="19.5703125" style="71" customWidth="1"/>
    <col min="7176" max="7421" width="9.140625" style="71"/>
    <col min="7422" max="7422" width="42.42578125" style="71" customWidth="1"/>
    <col min="7423" max="7429" width="16.7109375" style="71" customWidth="1"/>
    <col min="7430" max="7430" width="13.42578125" style="71" bestFit="1" customWidth="1"/>
    <col min="7431" max="7431" width="19.5703125" style="71" customWidth="1"/>
    <col min="7432" max="7677" width="9.140625" style="71"/>
    <col min="7678" max="7678" width="42.42578125" style="71" customWidth="1"/>
    <col min="7679" max="7685" width="16.7109375" style="71" customWidth="1"/>
    <col min="7686" max="7686" width="13.42578125" style="71" bestFit="1" customWidth="1"/>
    <col min="7687" max="7687" width="19.5703125" style="71" customWidth="1"/>
    <col min="7688" max="7933" width="9.140625" style="71"/>
    <col min="7934" max="7934" width="42.42578125" style="71" customWidth="1"/>
    <col min="7935" max="7941" width="16.7109375" style="71" customWidth="1"/>
    <col min="7942" max="7942" width="13.42578125" style="71" bestFit="1" customWidth="1"/>
    <col min="7943" max="7943" width="19.5703125" style="71" customWidth="1"/>
    <col min="7944" max="8189" width="9.140625" style="71"/>
    <col min="8190" max="8190" width="42.42578125" style="71" customWidth="1"/>
    <col min="8191" max="8197" width="16.7109375" style="71" customWidth="1"/>
    <col min="8198" max="8198" width="13.42578125" style="71" bestFit="1" customWidth="1"/>
    <col min="8199" max="8199" width="19.5703125" style="71" customWidth="1"/>
    <col min="8200" max="8445" width="9.140625" style="71"/>
    <col min="8446" max="8446" width="42.42578125" style="71" customWidth="1"/>
    <col min="8447" max="8453" width="16.7109375" style="71" customWidth="1"/>
    <col min="8454" max="8454" width="13.42578125" style="71" bestFit="1" customWidth="1"/>
    <col min="8455" max="8455" width="19.5703125" style="71" customWidth="1"/>
    <col min="8456" max="8701" width="9.140625" style="71"/>
    <col min="8702" max="8702" width="42.42578125" style="71" customWidth="1"/>
    <col min="8703" max="8709" width="16.7109375" style="71" customWidth="1"/>
    <col min="8710" max="8710" width="13.42578125" style="71" bestFit="1" customWidth="1"/>
    <col min="8711" max="8711" width="19.5703125" style="71" customWidth="1"/>
    <col min="8712" max="8957" width="9.140625" style="71"/>
    <col min="8958" max="8958" width="42.42578125" style="71" customWidth="1"/>
    <col min="8959" max="8965" width="16.7109375" style="71" customWidth="1"/>
    <col min="8966" max="8966" width="13.42578125" style="71" bestFit="1" customWidth="1"/>
    <col min="8967" max="8967" width="19.5703125" style="71" customWidth="1"/>
    <col min="8968" max="9213" width="9.140625" style="71"/>
    <col min="9214" max="9214" width="42.42578125" style="71" customWidth="1"/>
    <col min="9215" max="9221" width="16.7109375" style="71" customWidth="1"/>
    <col min="9222" max="9222" width="13.42578125" style="71" bestFit="1" customWidth="1"/>
    <col min="9223" max="9223" width="19.5703125" style="71" customWidth="1"/>
    <col min="9224" max="9469" width="9.140625" style="71"/>
    <col min="9470" max="9470" width="42.42578125" style="71" customWidth="1"/>
    <col min="9471" max="9477" width="16.7109375" style="71" customWidth="1"/>
    <col min="9478" max="9478" width="13.42578125" style="71" bestFit="1" customWidth="1"/>
    <col min="9479" max="9479" width="19.5703125" style="71" customWidth="1"/>
    <col min="9480" max="9725" width="9.140625" style="71"/>
    <col min="9726" max="9726" width="42.42578125" style="71" customWidth="1"/>
    <col min="9727" max="9733" width="16.7109375" style="71" customWidth="1"/>
    <col min="9734" max="9734" width="13.42578125" style="71" bestFit="1" customWidth="1"/>
    <col min="9735" max="9735" width="19.5703125" style="71" customWidth="1"/>
    <col min="9736" max="9981" width="9.140625" style="71"/>
    <col min="9982" max="9982" width="42.42578125" style="71" customWidth="1"/>
    <col min="9983" max="9989" width="16.7109375" style="71" customWidth="1"/>
    <col min="9990" max="9990" width="13.42578125" style="71" bestFit="1" customWidth="1"/>
    <col min="9991" max="9991" width="19.5703125" style="71" customWidth="1"/>
    <col min="9992" max="10237" width="9.140625" style="71"/>
    <col min="10238" max="10238" width="42.42578125" style="71" customWidth="1"/>
    <col min="10239" max="10245" width="16.7109375" style="71" customWidth="1"/>
    <col min="10246" max="10246" width="13.42578125" style="71" bestFit="1" customWidth="1"/>
    <col min="10247" max="10247" width="19.5703125" style="71" customWidth="1"/>
    <col min="10248" max="10493" width="9.140625" style="71"/>
    <col min="10494" max="10494" width="42.42578125" style="71" customWidth="1"/>
    <col min="10495" max="10501" width="16.7109375" style="71" customWidth="1"/>
    <col min="10502" max="10502" width="13.42578125" style="71" bestFit="1" customWidth="1"/>
    <col min="10503" max="10503" width="19.5703125" style="71" customWidth="1"/>
    <col min="10504" max="10749" width="9.140625" style="71"/>
    <col min="10750" max="10750" width="42.42578125" style="71" customWidth="1"/>
    <col min="10751" max="10757" width="16.7109375" style="71" customWidth="1"/>
    <col min="10758" max="10758" width="13.42578125" style="71" bestFit="1" customWidth="1"/>
    <col min="10759" max="10759" width="19.5703125" style="71" customWidth="1"/>
    <col min="10760" max="11005" width="9.140625" style="71"/>
    <col min="11006" max="11006" width="42.42578125" style="71" customWidth="1"/>
    <col min="11007" max="11013" width="16.7109375" style="71" customWidth="1"/>
    <col min="11014" max="11014" width="13.42578125" style="71" bestFit="1" customWidth="1"/>
    <col min="11015" max="11015" width="19.5703125" style="71" customWidth="1"/>
    <col min="11016" max="11261" width="9.140625" style="71"/>
    <col min="11262" max="11262" width="42.42578125" style="71" customWidth="1"/>
    <col min="11263" max="11269" width="16.7109375" style="71" customWidth="1"/>
    <col min="11270" max="11270" width="13.42578125" style="71" bestFit="1" customWidth="1"/>
    <col min="11271" max="11271" width="19.5703125" style="71" customWidth="1"/>
    <col min="11272" max="11517" width="9.140625" style="71"/>
    <col min="11518" max="11518" width="42.42578125" style="71" customWidth="1"/>
    <col min="11519" max="11525" width="16.7109375" style="71" customWidth="1"/>
    <col min="11526" max="11526" width="13.42578125" style="71" bestFit="1" customWidth="1"/>
    <col min="11527" max="11527" width="19.5703125" style="71" customWidth="1"/>
    <col min="11528" max="11773" width="9.140625" style="71"/>
    <col min="11774" max="11774" width="42.42578125" style="71" customWidth="1"/>
    <col min="11775" max="11781" width="16.7109375" style="71" customWidth="1"/>
    <col min="11782" max="11782" width="13.42578125" style="71" bestFit="1" customWidth="1"/>
    <col min="11783" max="11783" width="19.5703125" style="71" customWidth="1"/>
    <col min="11784" max="12029" width="9.140625" style="71"/>
    <col min="12030" max="12030" width="42.42578125" style="71" customWidth="1"/>
    <col min="12031" max="12037" width="16.7109375" style="71" customWidth="1"/>
    <col min="12038" max="12038" width="13.42578125" style="71" bestFit="1" customWidth="1"/>
    <col min="12039" max="12039" width="19.5703125" style="71" customWidth="1"/>
    <col min="12040" max="12285" width="9.140625" style="71"/>
    <col min="12286" max="12286" width="42.42578125" style="71" customWidth="1"/>
    <col min="12287" max="12293" width="16.7109375" style="71" customWidth="1"/>
    <col min="12294" max="12294" width="13.42578125" style="71" bestFit="1" customWidth="1"/>
    <col min="12295" max="12295" width="19.5703125" style="71" customWidth="1"/>
    <col min="12296" max="12541" width="9.140625" style="71"/>
    <col min="12542" max="12542" width="42.42578125" style="71" customWidth="1"/>
    <col min="12543" max="12549" width="16.7109375" style="71" customWidth="1"/>
    <col min="12550" max="12550" width="13.42578125" style="71" bestFit="1" customWidth="1"/>
    <col min="12551" max="12551" width="19.5703125" style="71" customWidth="1"/>
    <col min="12552" max="12797" width="9.140625" style="71"/>
    <col min="12798" max="12798" width="42.42578125" style="71" customWidth="1"/>
    <col min="12799" max="12805" width="16.7109375" style="71" customWidth="1"/>
    <col min="12806" max="12806" width="13.42578125" style="71" bestFit="1" customWidth="1"/>
    <col min="12807" max="12807" width="19.5703125" style="71" customWidth="1"/>
    <col min="12808" max="13053" width="9.140625" style="71"/>
    <col min="13054" max="13054" width="42.42578125" style="71" customWidth="1"/>
    <col min="13055" max="13061" width="16.7109375" style="71" customWidth="1"/>
    <col min="13062" max="13062" width="13.42578125" style="71" bestFit="1" customWidth="1"/>
    <col min="13063" max="13063" width="19.5703125" style="71" customWidth="1"/>
    <col min="13064" max="13309" width="9.140625" style="71"/>
    <col min="13310" max="13310" width="42.42578125" style="71" customWidth="1"/>
    <col min="13311" max="13317" width="16.7109375" style="71" customWidth="1"/>
    <col min="13318" max="13318" width="13.42578125" style="71" bestFit="1" customWidth="1"/>
    <col min="13319" max="13319" width="19.5703125" style="71" customWidth="1"/>
    <col min="13320" max="13565" width="9.140625" style="71"/>
    <col min="13566" max="13566" width="42.42578125" style="71" customWidth="1"/>
    <col min="13567" max="13573" width="16.7109375" style="71" customWidth="1"/>
    <col min="13574" max="13574" width="13.42578125" style="71" bestFit="1" customWidth="1"/>
    <col min="13575" max="13575" width="19.5703125" style="71" customWidth="1"/>
    <col min="13576" max="13821" width="9.140625" style="71"/>
    <col min="13822" max="13822" width="42.42578125" style="71" customWidth="1"/>
    <col min="13823" max="13829" width="16.7109375" style="71" customWidth="1"/>
    <col min="13830" max="13830" width="13.42578125" style="71" bestFit="1" customWidth="1"/>
    <col min="13831" max="13831" width="19.5703125" style="71" customWidth="1"/>
    <col min="13832" max="14077" width="9.140625" style="71"/>
    <col min="14078" max="14078" width="42.42578125" style="71" customWidth="1"/>
    <col min="14079" max="14085" width="16.7109375" style="71" customWidth="1"/>
    <col min="14086" max="14086" width="13.42578125" style="71" bestFit="1" customWidth="1"/>
    <col min="14087" max="14087" width="19.5703125" style="71" customWidth="1"/>
    <col min="14088" max="14333" width="9.140625" style="71"/>
    <col min="14334" max="14334" width="42.42578125" style="71" customWidth="1"/>
    <col min="14335" max="14341" width="16.7109375" style="71" customWidth="1"/>
    <col min="14342" max="14342" width="13.42578125" style="71" bestFit="1" customWidth="1"/>
    <col min="14343" max="14343" width="19.5703125" style="71" customWidth="1"/>
    <col min="14344" max="14589" width="9.140625" style="71"/>
    <col min="14590" max="14590" width="42.42578125" style="71" customWidth="1"/>
    <col min="14591" max="14597" width="16.7109375" style="71" customWidth="1"/>
    <col min="14598" max="14598" width="13.42578125" style="71" bestFit="1" customWidth="1"/>
    <col min="14599" max="14599" width="19.5703125" style="71" customWidth="1"/>
    <col min="14600" max="14845" width="9.140625" style="71"/>
    <col min="14846" max="14846" width="42.42578125" style="71" customWidth="1"/>
    <col min="14847" max="14853" width="16.7109375" style="71" customWidth="1"/>
    <col min="14854" max="14854" width="13.42578125" style="71" bestFit="1" customWidth="1"/>
    <col min="14855" max="14855" width="19.5703125" style="71" customWidth="1"/>
    <col min="14856" max="15101" width="9.140625" style="71"/>
    <col min="15102" max="15102" width="42.42578125" style="71" customWidth="1"/>
    <col min="15103" max="15109" width="16.7109375" style="71" customWidth="1"/>
    <col min="15110" max="15110" width="13.42578125" style="71" bestFit="1" customWidth="1"/>
    <col min="15111" max="15111" width="19.5703125" style="71" customWidth="1"/>
    <col min="15112" max="15357" width="9.140625" style="71"/>
    <col min="15358" max="15358" width="42.42578125" style="71" customWidth="1"/>
    <col min="15359" max="15365" width="16.7109375" style="71" customWidth="1"/>
    <col min="15366" max="15366" width="13.42578125" style="71" bestFit="1" customWidth="1"/>
    <col min="15367" max="15367" width="19.5703125" style="71" customWidth="1"/>
    <col min="15368" max="15613" width="9.140625" style="71"/>
    <col min="15614" max="15614" width="42.42578125" style="71" customWidth="1"/>
    <col min="15615" max="15621" width="16.7109375" style="71" customWidth="1"/>
    <col min="15622" max="15622" width="13.42578125" style="71" bestFit="1" customWidth="1"/>
    <col min="15623" max="15623" width="19.5703125" style="71" customWidth="1"/>
    <col min="15624" max="15869" width="9.140625" style="71"/>
    <col min="15870" max="15870" width="42.42578125" style="71" customWidth="1"/>
    <col min="15871" max="15877" width="16.7109375" style="71" customWidth="1"/>
    <col min="15878" max="15878" width="13.42578125" style="71" bestFit="1" customWidth="1"/>
    <col min="15879" max="15879" width="19.5703125" style="71" customWidth="1"/>
    <col min="15880" max="16125" width="9.140625" style="71"/>
    <col min="16126" max="16126" width="42.42578125" style="71" customWidth="1"/>
    <col min="16127" max="16133" width="16.7109375" style="71" customWidth="1"/>
    <col min="16134" max="16134" width="13.42578125" style="71" bestFit="1" customWidth="1"/>
    <col min="16135" max="16135" width="19.5703125" style="71" customWidth="1"/>
    <col min="16136" max="16384" width="9.140625" style="71"/>
  </cols>
  <sheetData>
    <row r="8" spans="2:9" hidden="1" x14ac:dyDescent="0.2"/>
    <row r="14" spans="2:9" x14ac:dyDescent="0.2">
      <c r="B14" s="501" t="s">
        <v>0</v>
      </c>
      <c r="C14" s="501"/>
      <c r="D14" s="501"/>
      <c r="E14" s="501"/>
      <c r="F14" s="501"/>
      <c r="G14" s="501"/>
      <c r="H14" s="501"/>
      <c r="I14" s="501"/>
    </row>
    <row r="15" spans="2:9" x14ac:dyDescent="0.2">
      <c r="B15" s="501" t="s">
        <v>1</v>
      </c>
      <c r="C15" s="501"/>
      <c r="D15" s="501"/>
      <c r="E15" s="501"/>
      <c r="F15" s="501"/>
      <c r="G15" s="501"/>
      <c r="H15" s="501"/>
      <c r="I15" s="501"/>
    </row>
    <row r="16" spans="2:9" x14ac:dyDescent="0.2">
      <c r="B16" s="72"/>
      <c r="C16" s="72"/>
      <c r="D16" s="72"/>
      <c r="E16" s="72"/>
      <c r="F16" s="72"/>
      <c r="G16" s="72"/>
      <c r="H16" s="72"/>
      <c r="I16" s="72"/>
    </row>
    <row r="17" spans="2:10" x14ac:dyDescent="0.2">
      <c r="B17" s="501" t="s">
        <v>2</v>
      </c>
      <c r="C17" s="501"/>
      <c r="D17" s="501"/>
      <c r="E17" s="501"/>
      <c r="F17" s="501"/>
      <c r="G17" s="501"/>
      <c r="H17" s="501"/>
      <c r="I17" s="501"/>
    </row>
    <row r="18" spans="2:10" x14ac:dyDescent="0.2">
      <c r="B18" s="73"/>
      <c r="C18" s="73"/>
      <c r="D18" s="73"/>
      <c r="E18" s="73"/>
      <c r="F18" s="73"/>
      <c r="G18" s="73"/>
      <c r="H18" s="73"/>
      <c r="I18" s="73"/>
    </row>
    <row r="19" spans="2:10" x14ac:dyDescent="0.2">
      <c r="B19" s="501" t="s">
        <v>1760</v>
      </c>
      <c r="C19" s="501"/>
      <c r="D19" s="501"/>
      <c r="E19" s="501"/>
      <c r="F19" s="501"/>
      <c r="G19" s="501"/>
      <c r="H19" s="501"/>
      <c r="I19" s="501"/>
    </row>
    <row r="20" spans="2:10" x14ac:dyDescent="0.2">
      <c r="B20" s="501" t="str">
        <f>ATIVO!A14</f>
        <v>31 DE DEZEMBRO DE 2022 E 31 DE DEZEMBRO DE 2021</v>
      </c>
      <c r="C20" s="501"/>
      <c r="D20" s="501"/>
      <c r="E20" s="501"/>
      <c r="F20" s="501"/>
      <c r="G20" s="501"/>
      <c r="H20" s="501"/>
      <c r="I20" s="501"/>
    </row>
    <row r="21" spans="2:10" x14ac:dyDescent="0.2">
      <c r="B21" s="502" t="s">
        <v>3</v>
      </c>
      <c r="C21" s="502"/>
      <c r="D21" s="502"/>
      <c r="E21" s="502"/>
      <c r="F21" s="502"/>
      <c r="G21" s="502"/>
      <c r="H21" s="502"/>
      <c r="I21" s="503"/>
      <c r="J21" s="74"/>
    </row>
    <row r="22" spans="2:10" x14ac:dyDescent="0.2">
      <c r="B22" s="75"/>
      <c r="C22" s="75"/>
      <c r="D22" s="75"/>
      <c r="E22" s="75"/>
      <c r="F22" s="75"/>
      <c r="G22" s="75"/>
      <c r="H22" s="75"/>
      <c r="I22" s="75"/>
      <c r="J22" s="74"/>
    </row>
    <row r="23" spans="2:10" x14ac:dyDescent="0.2">
      <c r="B23" s="74"/>
      <c r="C23" s="74"/>
      <c r="D23" s="74"/>
      <c r="E23" s="74"/>
      <c r="F23" s="74"/>
      <c r="G23" s="74"/>
      <c r="H23" s="74"/>
      <c r="I23" s="76"/>
      <c r="J23" s="74"/>
    </row>
    <row r="24" spans="2:10" ht="18" customHeight="1" x14ac:dyDescent="0.2">
      <c r="B24" s="77"/>
      <c r="C24" s="500" t="s">
        <v>1761</v>
      </c>
      <c r="D24" s="500"/>
      <c r="E24" s="78" t="s">
        <v>1762</v>
      </c>
      <c r="F24" s="78" t="s">
        <v>1763</v>
      </c>
      <c r="G24" s="78" t="s">
        <v>1764</v>
      </c>
      <c r="H24" s="78" t="s">
        <v>1765</v>
      </c>
      <c r="I24" s="78" t="s">
        <v>1671</v>
      </c>
      <c r="J24" s="74"/>
    </row>
    <row r="25" spans="2:10" ht="18" customHeight="1" x14ac:dyDescent="0.2">
      <c r="B25" s="79" t="s">
        <v>1766</v>
      </c>
      <c r="C25" s="154" t="s">
        <v>1081</v>
      </c>
      <c r="D25" s="154" t="s">
        <v>1767</v>
      </c>
      <c r="E25" s="80" t="s">
        <v>1768</v>
      </c>
      <c r="F25" s="80" t="s">
        <v>1769</v>
      </c>
      <c r="G25" s="80" t="s">
        <v>1770</v>
      </c>
      <c r="H25" s="80" t="s">
        <v>1771</v>
      </c>
      <c r="I25" s="80" t="s">
        <v>1772</v>
      </c>
      <c r="J25" s="74"/>
    </row>
    <row r="26" spans="2:10" ht="18" hidden="1" customHeight="1" x14ac:dyDescent="0.2">
      <c r="B26" s="81" t="s">
        <v>1773</v>
      </c>
      <c r="C26" s="82">
        <v>332557.57377999998</v>
      </c>
      <c r="D26" s="82">
        <v>220.59949</v>
      </c>
      <c r="E26" s="82">
        <v>0</v>
      </c>
      <c r="F26" s="82">
        <v>1295.83853</v>
      </c>
      <c r="G26" s="82">
        <v>0</v>
      </c>
      <c r="H26" s="83">
        <v>-59459.460169999998</v>
      </c>
      <c r="I26" s="82">
        <f t="shared" ref="I26:I31" si="0">SUM(C26:H26)</f>
        <v>274614.55163</v>
      </c>
      <c r="J26" s="74"/>
    </row>
    <row r="27" spans="2:10" ht="18" hidden="1" customHeight="1" x14ac:dyDescent="0.2">
      <c r="B27" s="84" t="s">
        <v>1774</v>
      </c>
      <c r="C27" s="85">
        <v>0</v>
      </c>
      <c r="D27" s="85">
        <v>0</v>
      </c>
      <c r="E27" s="85">
        <v>0</v>
      </c>
      <c r="F27" s="86">
        <v>0</v>
      </c>
      <c r="G27" s="86">
        <v>0</v>
      </c>
      <c r="H27" s="87">
        <v>-14744.94292</v>
      </c>
      <c r="I27" s="82">
        <f t="shared" si="0"/>
        <v>-14744.94292</v>
      </c>
      <c r="J27" s="74"/>
    </row>
    <row r="28" spans="2:10" ht="18" hidden="1" customHeight="1" x14ac:dyDescent="0.2">
      <c r="B28" s="84" t="s">
        <v>48</v>
      </c>
      <c r="C28" s="85">
        <v>0</v>
      </c>
      <c r="D28" s="85">
        <v>0</v>
      </c>
      <c r="E28" s="85">
        <v>0</v>
      </c>
      <c r="F28" s="85">
        <v>82.966909999999999</v>
      </c>
      <c r="G28" s="86">
        <v>0</v>
      </c>
      <c r="H28" s="86">
        <v>0</v>
      </c>
      <c r="I28" s="82">
        <f t="shared" si="0"/>
        <v>82.966909999999999</v>
      </c>
      <c r="J28" s="74"/>
    </row>
    <row r="29" spans="2:10" ht="18" hidden="1" customHeight="1" x14ac:dyDescent="0.2">
      <c r="B29" s="84" t="s">
        <v>1775</v>
      </c>
      <c r="C29" s="85">
        <v>0</v>
      </c>
      <c r="D29" s="85">
        <v>0</v>
      </c>
      <c r="E29" s="82"/>
      <c r="F29" s="86">
        <v>0</v>
      </c>
      <c r="G29" s="86">
        <v>0</v>
      </c>
      <c r="H29" s="86">
        <v>71.351209999999995</v>
      </c>
      <c r="I29" s="82">
        <f>SUM(C29:H29)</f>
        <v>71.351209999999995</v>
      </c>
      <c r="J29" s="74"/>
    </row>
    <row r="30" spans="2:10" ht="18" hidden="1" customHeight="1" x14ac:dyDescent="0.2">
      <c r="B30" s="84" t="s">
        <v>1776</v>
      </c>
      <c r="C30" s="85"/>
      <c r="D30" s="85"/>
      <c r="E30" s="82">
        <f>8546.60666</f>
        <v>8546.6066599999995</v>
      </c>
      <c r="F30" s="86"/>
      <c r="G30" s="86">
        <v>0</v>
      </c>
      <c r="H30" s="85"/>
      <c r="I30" s="82">
        <f t="shared" si="0"/>
        <v>8546.6066599999995</v>
      </c>
      <c r="J30" s="74"/>
    </row>
    <row r="31" spans="2:10" ht="18" hidden="1" customHeight="1" x14ac:dyDescent="0.2">
      <c r="B31" s="84" t="s">
        <v>1777</v>
      </c>
      <c r="C31" s="85">
        <v>0</v>
      </c>
      <c r="D31" s="85">
        <v>0</v>
      </c>
      <c r="E31" s="85">
        <v>0</v>
      </c>
      <c r="F31" s="86">
        <v>0</v>
      </c>
      <c r="G31" s="85">
        <v>-2783.57744</v>
      </c>
      <c r="H31" s="86">
        <v>0</v>
      </c>
      <c r="I31" s="82">
        <f t="shared" si="0"/>
        <v>-2783.57744</v>
      </c>
      <c r="J31" s="74"/>
    </row>
    <row r="32" spans="2:10" ht="18" customHeight="1" x14ac:dyDescent="0.2">
      <c r="B32" s="81" t="s">
        <v>1778</v>
      </c>
      <c r="C32" s="82">
        <f t="shared" ref="C32:I32" si="1">SUM(C26:C31)</f>
        <v>332557.57377999998</v>
      </c>
      <c r="D32" s="82">
        <f t="shared" si="1"/>
        <v>220.59949</v>
      </c>
      <c r="E32" s="82">
        <f t="shared" si="1"/>
        <v>8546.6066599999995</v>
      </c>
      <c r="F32" s="82">
        <f t="shared" si="1"/>
        <v>1378.8054400000001</v>
      </c>
      <c r="G32" s="82">
        <f t="shared" si="1"/>
        <v>-2783.57744</v>
      </c>
      <c r="H32" s="82">
        <f t="shared" si="1"/>
        <v>-74133.051879999999</v>
      </c>
      <c r="I32" s="82">
        <f t="shared" si="1"/>
        <v>265786.95604999998</v>
      </c>
      <c r="J32" s="74"/>
    </row>
    <row r="33" spans="2:10" ht="18" customHeight="1" x14ac:dyDescent="0.2">
      <c r="B33" s="84" t="s">
        <v>1779</v>
      </c>
      <c r="C33" s="86">
        <f>(273137529.44-332557573.78)/1000</f>
        <v>-59420.044339999971</v>
      </c>
      <c r="D33" s="86">
        <f>(181183.66-220599.49)/1000</f>
        <v>-39.415829999999985</v>
      </c>
      <c r="E33" s="86">
        <v>0</v>
      </c>
      <c r="F33" s="86">
        <v>0</v>
      </c>
      <c r="G33" s="86">
        <v>0</v>
      </c>
      <c r="H33" s="86">
        <f>-(273318713.1-332778173.27)/1000</f>
        <v>59459.460169999955</v>
      </c>
      <c r="I33" s="88">
        <f>SUM(C33:H33)</f>
        <v>0</v>
      </c>
      <c r="J33" s="89"/>
    </row>
    <row r="34" spans="2:10" ht="18" customHeight="1" x14ac:dyDescent="0.2">
      <c r="B34" s="84" t="s">
        <v>1780</v>
      </c>
      <c r="C34" s="85">
        <v>0</v>
      </c>
      <c r="D34" s="85">
        <v>0</v>
      </c>
      <c r="E34" s="85">
        <v>0</v>
      </c>
      <c r="F34" s="86">
        <v>0</v>
      </c>
      <c r="G34" s="86">
        <v>0</v>
      </c>
      <c r="H34" s="87">
        <f>-'[10]ACUM 2019 (2)'!J709/1000</f>
        <v>-16295.158730000001</v>
      </c>
      <c r="I34" s="88">
        <f>SUM(C34:H34)</f>
        <v>-16295.158730000001</v>
      </c>
      <c r="J34" s="90"/>
    </row>
    <row r="35" spans="2:10" ht="18" customHeight="1" x14ac:dyDescent="0.2">
      <c r="B35" s="84" t="s">
        <v>48</v>
      </c>
      <c r="C35" s="85">
        <v>0</v>
      </c>
      <c r="D35" s="85">
        <v>0</v>
      </c>
      <c r="E35" s="85">
        <v>0</v>
      </c>
      <c r="F35" s="85">
        <f>1421.5425-F32</f>
        <v>42.737059999999929</v>
      </c>
      <c r="G35" s="86">
        <v>0</v>
      </c>
      <c r="H35" s="86">
        <v>0</v>
      </c>
      <c r="I35" s="88">
        <f>SUM(C35:H35)</f>
        <v>42.737059999999929</v>
      </c>
      <c r="J35" s="74"/>
    </row>
    <row r="36" spans="2:10" ht="18" hidden="1" customHeight="1" x14ac:dyDescent="0.2">
      <c r="B36" s="91" t="s">
        <v>1870</v>
      </c>
      <c r="C36" s="85">
        <v>0</v>
      </c>
      <c r="D36" s="85">
        <v>0</v>
      </c>
      <c r="E36" s="82"/>
      <c r="F36" s="86">
        <v>0</v>
      </c>
      <c r="G36" s="86">
        <v>0</v>
      </c>
      <c r="H36" s="87">
        <v>0</v>
      </c>
      <c r="I36" s="88">
        <f>SUM(C36:H36)</f>
        <v>0</v>
      </c>
      <c r="J36" s="74"/>
    </row>
    <row r="37" spans="2:10" ht="18" hidden="1" customHeight="1" x14ac:dyDescent="0.2">
      <c r="B37" s="91" t="s">
        <v>1781</v>
      </c>
      <c r="C37" s="85">
        <v>0</v>
      </c>
      <c r="D37" s="85">
        <v>0</v>
      </c>
      <c r="E37" s="85">
        <v>0</v>
      </c>
      <c r="F37" s="86">
        <v>0</v>
      </c>
      <c r="G37" s="85">
        <v>0</v>
      </c>
      <c r="H37" s="86">
        <v>0</v>
      </c>
      <c r="I37" s="88">
        <f>SUM(C37:H37)</f>
        <v>0</v>
      </c>
      <c r="J37" s="74"/>
    </row>
    <row r="38" spans="2:10" ht="18" customHeight="1" x14ac:dyDescent="0.2">
      <c r="B38" s="92" t="s">
        <v>1783</v>
      </c>
      <c r="C38" s="82">
        <f t="shared" ref="C38:I38" si="2">SUM(C32:C37)</f>
        <v>273137.52944000001</v>
      </c>
      <c r="D38" s="82">
        <f t="shared" si="2"/>
        <v>181.18366000000003</v>
      </c>
      <c r="E38" s="82">
        <f t="shared" si="2"/>
        <v>8546.6066599999995</v>
      </c>
      <c r="F38" s="82">
        <f t="shared" si="2"/>
        <v>1421.5425</v>
      </c>
      <c r="G38" s="82">
        <f t="shared" si="2"/>
        <v>-2783.57744</v>
      </c>
      <c r="H38" s="82">
        <f t="shared" si="2"/>
        <v>-30968.750440000047</v>
      </c>
      <c r="I38" s="82">
        <f t="shared" si="2"/>
        <v>249534.53438</v>
      </c>
      <c r="J38" s="90"/>
    </row>
    <row r="39" spans="2:10" ht="18" hidden="1" customHeight="1" x14ac:dyDescent="0.2">
      <c r="B39" s="91" t="s">
        <v>1779</v>
      </c>
      <c r="C39" s="86"/>
      <c r="D39" s="86"/>
      <c r="E39" s="86">
        <v>0</v>
      </c>
      <c r="F39" s="86">
        <v>0</v>
      </c>
      <c r="G39" s="86">
        <v>0</v>
      </c>
      <c r="H39" s="86">
        <v>0</v>
      </c>
      <c r="I39" s="88">
        <f t="shared" ref="I39:I45" si="3">SUM(C39:H39)</f>
        <v>0</v>
      </c>
      <c r="J39" s="90"/>
    </row>
    <row r="40" spans="2:10" ht="18" customHeight="1" x14ac:dyDescent="0.2">
      <c r="B40" s="91" t="s">
        <v>1780</v>
      </c>
      <c r="C40" s="85">
        <v>0</v>
      </c>
      <c r="D40" s="85">
        <v>0</v>
      </c>
      <c r="E40" s="85">
        <v>0</v>
      </c>
      <c r="F40" s="86">
        <v>0</v>
      </c>
      <c r="G40" s="137">
        <v>0</v>
      </c>
      <c r="H40" s="87">
        <v>-8307.3525300000001</v>
      </c>
      <c r="I40" s="88">
        <f t="shared" si="3"/>
        <v>-8307.3525300000001</v>
      </c>
      <c r="J40" s="90"/>
    </row>
    <row r="41" spans="2:10" ht="18" customHeight="1" x14ac:dyDescent="0.2">
      <c r="B41" s="91" t="s">
        <v>48</v>
      </c>
      <c r="C41" s="85">
        <v>0</v>
      </c>
      <c r="D41" s="85">
        <v>0</v>
      </c>
      <c r="E41" s="85">
        <v>0</v>
      </c>
      <c r="F41" s="85">
        <v>21.60615</v>
      </c>
      <c r="G41" s="137">
        <v>0</v>
      </c>
      <c r="H41" s="137">
        <v>0</v>
      </c>
      <c r="I41" s="88">
        <f t="shared" si="3"/>
        <v>21.60615</v>
      </c>
      <c r="J41" s="90"/>
    </row>
    <row r="42" spans="2:10" ht="18" customHeight="1" x14ac:dyDescent="0.2">
      <c r="B42" s="91" t="s">
        <v>1870</v>
      </c>
      <c r="C42" s="85">
        <v>0</v>
      </c>
      <c r="D42" s="85">
        <v>0</v>
      </c>
      <c r="E42" s="82"/>
      <c r="F42" s="86">
        <v>0</v>
      </c>
      <c r="G42" s="137">
        <v>0</v>
      </c>
      <c r="H42" s="87">
        <v>0</v>
      </c>
      <c r="I42" s="88">
        <f t="shared" si="3"/>
        <v>0</v>
      </c>
      <c r="J42" s="90"/>
    </row>
    <row r="43" spans="2:10" ht="18" customHeight="1" x14ac:dyDescent="0.2">
      <c r="B43" s="84" t="s">
        <v>1781</v>
      </c>
      <c r="C43" s="85">
        <v>0</v>
      </c>
      <c r="D43" s="85">
        <v>0</v>
      </c>
      <c r="E43" s="85">
        <v>0</v>
      </c>
      <c r="F43" s="86">
        <v>0</v>
      </c>
      <c r="G43" s="87">
        <v>2783.57744</v>
      </c>
      <c r="H43" s="137">
        <v>0</v>
      </c>
      <c r="I43" s="88">
        <f t="shared" si="3"/>
        <v>2783.57744</v>
      </c>
      <c r="J43" s="90"/>
    </row>
    <row r="44" spans="2:10" ht="18" hidden="1" customHeight="1" x14ac:dyDescent="0.2">
      <c r="B44" s="91" t="s">
        <v>1872</v>
      </c>
      <c r="C44" s="85">
        <v>0</v>
      </c>
      <c r="D44" s="85">
        <v>0</v>
      </c>
      <c r="E44" s="82"/>
      <c r="F44" s="86">
        <v>0</v>
      </c>
      <c r="G44" s="137">
        <v>0</v>
      </c>
      <c r="H44" s="87"/>
      <c r="I44" s="88">
        <f t="shared" si="3"/>
        <v>0</v>
      </c>
      <c r="J44" s="90"/>
    </row>
    <row r="45" spans="2:10" ht="18" hidden="1" customHeight="1" x14ac:dyDescent="0.2">
      <c r="B45" s="84" t="s">
        <v>1871</v>
      </c>
      <c r="C45" s="85">
        <v>0</v>
      </c>
      <c r="D45" s="85">
        <v>0</v>
      </c>
      <c r="E45" s="85">
        <v>0</v>
      </c>
      <c r="F45" s="86">
        <v>0</v>
      </c>
      <c r="G45" s="87">
        <v>0</v>
      </c>
      <c r="H45" s="137">
        <v>0</v>
      </c>
      <c r="I45" s="88">
        <f t="shared" si="3"/>
        <v>0</v>
      </c>
      <c r="J45" s="90"/>
    </row>
    <row r="46" spans="2:10" ht="18" customHeight="1" x14ac:dyDescent="0.2">
      <c r="B46" s="81" t="s">
        <v>1868</v>
      </c>
      <c r="C46" s="82">
        <f>SUM(C38:C45)</f>
        <v>273137.52944000001</v>
      </c>
      <c r="D46" s="82">
        <f t="shared" ref="D46:H46" si="4">SUM(D38:D45)</f>
        <v>181.18366000000003</v>
      </c>
      <c r="E46" s="82">
        <f t="shared" si="4"/>
        <v>8546.6066599999995</v>
      </c>
      <c r="F46" s="82">
        <f t="shared" si="4"/>
        <v>1443.1486500000001</v>
      </c>
      <c r="G46" s="138">
        <f t="shared" si="4"/>
        <v>0</v>
      </c>
      <c r="H46" s="138">
        <f t="shared" si="4"/>
        <v>-39276.102970000051</v>
      </c>
      <c r="I46" s="82">
        <f>SUM(I38:I45)</f>
        <v>244032.36543999999</v>
      </c>
      <c r="J46" s="90"/>
    </row>
    <row r="47" spans="2:10" ht="18" hidden="1" customHeight="1" x14ac:dyDescent="0.2">
      <c r="B47" s="91" t="s">
        <v>1779</v>
      </c>
      <c r="C47" s="86"/>
      <c r="D47" s="86"/>
      <c r="E47" s="86">
        <v>0</v>
      </c>
      <c r="F47" s="86">
        <v>0</v>
      </c>
      <c r="G47" s="86">
        <v>0</v>
      </c>
      <c r="H47" s="86">
        <v>0</v>
      </c>
      <c r="I47" s="88">
        <f t="shared" ref="I47:I53" si="5">SUM(C47:H47)</f>
        <v>0</v>
      </c>
      <c r="J47" s="90"/>
    </row>
    <row r="48" spans="2:10" ht="18" customHeight="1" x14ac:dyDescent="0.2">
      <c r="B48" s="91" t="s">
        <v>1780</v>
      </c>
      <c r="C48" s="85">
        <v>0</v>
      </c>
      <c r="D48" s="85">
        <v>0</v>
      </c>
      <c r="E48" s="85">
        <v>0</v>
      </c>
      <c r="F48" s="86">
        <v>0</v>
      </c>
      <c r="G48" s="137">
        <v>0</v>
      </c>
      <c r="H48" s="87">
        <f>-609.0514-108.59987-1435.06913+83.47055+10.45496+8.22948</f>
        <v>-2050.5654100000002</v>
      </c>
      <c r="I48" s="88">
        <f t="shared" si="5"/>
        <v>-2050.5654100000002</v>
      </c>
      <c r="J48" s="90"/>
    </row>
    <row r="49" spans="2:10" ht="18" customHeight="1" x14ac:dyDescent="0.2">
      <c r="B49" s="91" t="s">
        <v>48</v>
      </c>
      <c r="C49" s="85">
        <v>0</v>
      </c>
      <c r="D49" s="85">
        <v>0</v>
      </c>
      <c r="E49" s="85">
        <v>0</v>
      </c>
      <c r="F49" s="85">
        <v>17.94171</v>
      </c>
      <c r="G49" s="137">
        <v>0</v>
      </c>
      <c r="H49" s="137">
        <v>0</v>
      </c>
      <c r="I49" s="88">
        <f t="shared" si="5"/>
        <v>17.94171</v>
      </c>
      <c r="J49" s="90"/>
    </row>
    <row r="50" spans="2:10" ht="18" hidden="1" customHeight="1" x14ac:dyDescent="0.2">
      <c r="B50" s="91" t="s">
        <v>1870</v>
      </c>
      <c r="C50" s="85">
        <v>0</v>
      </c>
      <c r="D50" s="85">
        <v>0</v>
      </c>
      <c r="E50" s="82"/>
      <c r="F50" s="86">
        <v>0</v>
      </c>
      <c r="G50" s="137">
        <v>0</v>
      </c>
      <c r="H50" s="87">
        <v>0</v>
      </c>
      <c r="I50" s="88">
        <f t="shared" si="5"/>
        <v>0</v>
      </c>
      <c r="J50" s="90"/>
    </row>
    <row r="51" spans="2:10" ht="18" hidden="1" customHeight="1" x14ac:dyDescent="0.2">
      <c r="B51" s="84" t="s">
        <v>1781</v>
      </c>
      <c r="C51" s="85">
        <v>0</v>
      </c>
      <c r="D51" s="85">
        <v>0</v>
      </c>
      <c r="E51" s="85">
        <v>0</v>
      </c>
      <c r="F51" s="86">
        <v>0</v>
      </c>
      <c r="G51" s="87">
        <v>0</v>
      </c>
      <c r="H51" s="137">
        <v>0</v>
      </c>
      <c r="I51" s="88">
        <f t="shared" si="5"/>
        <v>0</v>
      </c>
      <c r="J51" s="90"/>
    </row>
    <row r="52" spans="2:10" ht="18" customHeight="1" x14ac:dyDescent="0.2">
      <c r="B52" s="91" t="s">
        <v>1872</v>
      </c>
      <c r="C52" s="85">
        <v>0</v>
      </c>
      <c r="D52" s="85">
        <v>0</v>
      </c>
      <c r="E52" s="82"/>
      <c r="F52" s="86">
        <v>0</v>
      </c>
      <c r="G52" s="137">
        <v>0</v>
      </c>
      <c r="H52" s="87">
        <f>-37389.714</f>
        <v>-37389.714</v>
      </c>
      <c r="I52" s="88">
        <f t="shared" si="5"/>
        <v>-37389.714</v>
      </c>
      <c r="J52" s="90"/>
    </row>
    <row r="53" spans="2:10" ht="18" customHeight="1" x14ac:dyDescent="0.2">
      <c r="B53" s="84" t="s">
        <v>1871</v>
      </c>
      <c r="C53" s="85">
        <v>0</v>
      </c>
      <c r="D53" s="85">
        <v>0</v>
      </c>
      <c r="E53" s="85">
        <v>0</v>
      </c>
      <c r="F53" s="86">
        <v>0</v>
      </c>
      <c r="G53" s="87">
        <v>-7657.7569999999996</v>
      </c>
      <c r="H53" s="137">
        <v>0</v>
      </c>
      <c r="I53" s="88">
        <f t="shared" si="5"/>
        <v>-7657.7569999999996</v>
      </c>
      <c r="J53" s="90"/>
    </row>
    <row r="54" spans="2:10" ht="18" customHeight="1" x14ac:dyDescent="0.2">
      <c r="B54" s="81" t="s">
        <v>1792</v>
      </c>
      <c r="C54" s="82">
        <f>SUM(C46:C53)</f>
        <v>273137.52944000001</v>
      </c>
      <c r="D54" s="82">
        <f>SUM(D46:D53)</f>
        <v>181.18366000000003</v>
      </c>
      <c r="E54" s="82">
        <f t="shared" ref="E54:I54" si="6">SUM(E46:E53)</f>
        <v>8546.6066599999995</v>
      </c>
      <c r="F54" s="82">
        <f t="shared" si="6"/>
        <v>1461.0903600000001</v>
      </c>
      <c r="G54" s="138">
        <f t="shared" si="6"/>
        <v>-7657.7569999999996</v>
      </c>
      <c r="H54" s="138">
        <f t="shared" si="6"/>
        <v>-78716.382380000054</v>
      </c>
      <c r="I54" s="82">
        <f t="shared" si="6"/>
        <v>196952.27073999998</v>
      </c>
      <c r="J54" s="90"/>
    </row>
    <row r="55" spans="2:10" x14ac:dyDescent="0.2">
      <c r="B55" s="91" t="s">
        <v>1779</v>
      </c>
      <c r="C55" s="86"/>
      <c r="D55" s="86"/>
      <c r="E55" s="86">
        <v>0</v>
      </c>
      <c r="F55" s="86">
        <v>0</v>
      </c>
      <c r="G55" s="137">
        <v>0</v>
      </c>
      <c r="H55" s="137">
        <v>0</v>
      </c>
      <c r="I55" s="88">
        <f>SUM(C55:H55)</f>
        <v>0</v>
      </c>
      <c r="J55" s="74"/>
    </row>
    <row r="56" spans="2:10" x14ac:dyDescent="0.2">
      <c r="B56" s="91" t="s">
        <v>1782</v>
      </c>
      <c r="C56" s="85">
        <v>0</v>
      </c>
      <c r="D56" s="85">
        <v>0</v>
      </c>
      <c r="E56" s="85">
        <v>0</v>
      </c>
      <c r="F56" s="86">
        <v>0</v>
      </c>
      <c r="G56" s="137">
        <v>0</v>
      </c>
      <c r="H56" s="87">
        <f>-930.92983</f>
        <v>-930.92983000000004</v>
      </c>
      <c r="I56" s="88">
        <f>SUM(C56:H56)</f>
        <v>-930.92983000000004</v>
      </c>
      <c r="J56" s="74"/>
    </row>
    <row r="57" spans="2:10" x14ac:dyDescent="0.2">
      <c r="B57" s="91" t="s">
        <v>48</v>
      </c>
      <c r="C57" s="85">
        <v>0</v>
      </c>
      <c r="D57" s="85">
        <v>0</v>
      </c>
      <c r="E57" s="85">
        <v>0</v>
      </c>
      <c r="F57" s="85">
        <v>14.830069999999999</v>
      </c>
      <c r="G57" s="137">
        <v>0</v>
      </c>
      <c r="H57" s="137">
        <v>0</v>
      </c>
      <c r="I57" s="88">
        <f>SUM(C57:H57)</f>
        <v>14.830069999999999</v>
      </c>
      <c r="J57" s="153"/>
    </row>
    <row r="58" spans="2:10" hidden="1" x14ac:dyDescent="0.2">
      <c r="B58" s="91" t="s">
        <v>1873</v>
      </c>
      <c r="C58" s="85">
        <v>0</v>
      </c>
      <c r="D58" s="85">
        <v>0</v>
      </c>
      <c r="E58" s="82"/>
      <c r="F58" s="86">
        <v>0</v>
      </c>
      <c r="G58" s="137">
        <v>0</v>
      </c>
      <c r="H58" s="87">
        <v>0</v>
      </c>
      <c r="I58" s="88">
        <f>SUM(C58:H58)</f>
        <v>0</v>
      </c>
      <c r="J58" s="153"/>
    </row>
    <row r="59" spans="2:10" hidden="1" x14ac:dyDescent="0.2">
      <c r="B59" s="84" t="s">
        <v>1781</v>
      </c>
      <c r="C59" s="85">
        <v>0</v>
      </c>
      <c r="D59" s="85">
        <v>0</v>
      </c>
      <c r="E59" s="85">
        <v>0</v>
      </c>
      <c r="F59" s="86">
        <v>0</v>
      </c>
      <c r="G59" s="87">
        <v>0</v>
      </c>
      <c r="H59" s="137">
        <v>0</v>
      </c>
      <c r="I59" s="88">
        <f>SUM(C59:H59)</f>
        <v>0</v>
      </c>
      <c r="J59" s="162"/>
    </row>
    <row r="60" spans="2:10" x14ac:dyDescent="0.2">
      <c r="B60" s="81" t="s">
        <v>1786</v>
      </c>
      <c r="C60" s="82">
        <f>SUM(C54:C59)</f>
        <v>273137.52944000001</v>
      </c>
      <c r="D60" s="82">
        <f t="shared" ref="D60:H60" si="7">SUM(D54:D59)</f>
        <v>181.18366000000003</v>
      </c>
      <c r="E60" s="82">
        <f t="shared" si="7"/>
        <v>8546.6066599999995</v>
      </c>
      <c r="F60" s="82">
        <f t="shared" si="7"/>
        <v>1475.9204300000001</v>
      </c>
      <c r="G60" s="82">
        <f t="shared" si="7"/>
        <v>-7657.7569999999996</v>
      </c>
      <c r="H60" s="82">
        <f t="shared" si="7"/>
        <v>-79647.312210000047</v>
      </c>
      <c r="I60" s="82">
        <f>SUM(I54:I59)</f>
        <v>196036.17097999997</v>
      </c>
      <c r="J60" s="153"/>
    </row>
    <row r="61" spans="2:10" x14ac:dyDescent="0.2">
      <c r="B61" s="91" t="s">
        <v>1779</v>
      </c>
      <c r="C61" s="86"/>
      <c r="D61" s="86"/>
      <c r="E61" s="86">
        <v>0</v>
      </c>
      <c r="F61" s="86">
        <v>0</v>
      </c>
      <c r="G61" s="137">
        <v>0</v>
      </c>
      <c r="H61" s="137">
        <v>0</v>
      </c>
      <c r="I61" s="88">
        <f>SUM(C61:H61)</f>
        <v>0</v>
      </c>
      <c r="J61" s="153"/>
    </row>
    <row r="62" spans="2:10" x14ac:dyDescent="0.2">
      <c r="B62" s="91" t="s">
        <v>1782</v>
      </c>
      <c r="C62" s="85">
        <v>0</v>
      </c>
      <c r="D62" s="85">
        <v>0</v>
      </c>
      <c r="E62" s="85">
        <v>0</v>
      </c>
      <c r="F62" s="86">
        <v>0</v>
      </c>
      <c r="G62" s="137">
        <v>0</v>
      </c>
      <c r="H62" s="87">
        <f>-5060.58364+108.59987+1435.06913</f>
        <v>-3516.91464</v>
      </c>
      <c r="I62" s="88">
        <f>SUM(C62:H62)</f>
        <v>-3516.91464</v>
      </c>
      <c r="J62" s="153"/>
    </row>
    <row r="63" spans="2:10" x14ac:dyDescent="0.2">
      <c r="B63" s="91" t="s">
        <v>1787</v>
      </c>
      <c r="C63" s="85">
        <v>0</v>
      </c>
      <c r="D63" s="85">
        <v>0</v>
      </c>
      <c r="E63" s="85">
        <v>0</v>
      </c>
      <c r="F63" s="85">
        <v>10.93172</v>
      </c>
      <c r="G63" s="137">
        <v>0</v>
      </c>
      <c r="H63" s="137">
        <v>0</v>
      </c>
      <c r="I63" s="88">
        <f>SUM(C63:H63)</f>
        <v>10.93172</v>
      </c>
      <c r="J63" s="153"/>
    </row>
    <row r="64" spans="2:10" hidden="1" x14ac:dyDescent="0.2">
      <c r="B64" s="91" t="s">
        <v>1872</v>
      </c>
      <c r="C64" s="85">
        <v>0</v>
      </c>
      <c r="D64" s="85">
        <v>0</v>
      </c>
      <c r="E64" s="82"/>
      <c r="F64" s="86">
        <v>0</v>
      </c>
      <c r="G64" s="86">
        <v>0</v>
      </c>
      <c r="H64" s="87">
        <v>0</v>
      </c>
      <c r="I64" s="88">
        <f>SUM(C64:H64)</f>
        <v>0</v>
      </c>
      <c r="J64" s="153"/>
    </row>
    <row r="65" spans="2:10" hidden="1" x14ac:dyDescent="0.2">
      <c r="B65" s="84" t="s">
        <v>1871</v>
      </c>
      <c r="C65" s="85">
        <v>0</v>
      </c>
      <c r="D65" s="85">
        <v>0</v>
      </c>
      <c r="E65" s="85">
        <v>0</v>
      </c>
      <c r="F65" s="86">
        <v>0</v>
      </c>
      <c r="G65" s="85">
        <v>0</v>
      </c>
      <c r="H65" s="86">
        <v>0</v>
      </c>
      <c r="I65" s="88">
        <f>SUM(C65:H65)</f>
        <v>0</v>
      </c>
    </row>
    <row r="66" spans="2:10" x14ac:dyDescent="0.2">
      <c r="B66" s="81" t="s">
        <v>1784</v>
      </c>
      <c r="C66" s="82">
        <f>SUM(C60:C65)</f>
        <v>273137.52944000001</v>
      </c>
      <c r="D66" s="82">
        <f t="shared" ref="D66:I66" si="8">SUM(D60:D65)</f>
        <v>181.18366000000003</v>
      </c>
      <c r="E66" s="82">
        <f t="shared" si="8"/>
        <v>8546.6066599999995</v>
      </c>
      <c r="F66" s="82">
        <f t="shared" si="8"/>
        <v>1486.8521500000002</v>
      </c>
      <c r="G66" s="138">
        <f t="shared" si="8"/>
        <v>-7657.7569999999996</v>
      </c>
      <c r="H66" s="138">
        <f t="shared" si="8"/>
        <v>-83164.22685000005</v>
      </c>
      <c r="I66" s="138">
        <f t="shared" si="8"/>
        <v>192530.18805999996</v>
      </c>
    </row>
    <row r="67" spans="2:10" hidden="1" x14ac:dyDescent="0.2">
      <c r="B67" s="91" t="s">
        <v>1779</v>
      </c>
      <c r="C67" s="86"/>
      <c r="D67" s="86"/>
      <c r="E67" s="86">
        <v>0</v>
      </c>
      <c r="F67" s="86">
        <v>0</v>
      </c>
      <c r="G67" s="137">
        <v>0</v>
      </c>
      <c r="H67" s="137">
        <v>0</v>
      </c>
      <c r="I67" s="188">
        <f>SUM(C67:H67)</f>
        <v>0</v>
      </c>
    </row>
    <row r="68" spans="2:10" x14ac:dyDescent="0.2">
      <c r="B68" s="91" t="s">
        <v>1782</v>
      </c>
      <c r="C68" s="85">
        <v>0</v>
      </c>
      <c r="D68" s="85">
        <v>0</v>
      </c>
      <c r="E68" s="85">
        <v>0</v>
      </c>
      <c r="F68" s="86">
        <v>0</v>
      </c>
      <c r="G68" s="137">
        <v>0</v>
      </c>
      <c r="H68" s="87">
        <v>-1796.54946</v>
      </c>
      <c r="I68" s="188">
        <f>SUM(C68:H68)</f>
        <v>-1796.54946</v>
      </c>
      <c r="J68" s="98"/>
    </row>
    <row r="69" spans="2:10" x14ac:dyDescent="0.2">
      <c r="B69" s="91" t="s">
        <v>1787</v>
      </c>
      <c r="C69" s="85">
        <v>0</v>
      </c>
      <c r="D69" s="85">
        <v>0</v>
      </c>
      <c r="E69" s="85">
        <v>0</v>
      </c>
      <c r="F69" s="85">
        <v>7.6282800000000002</v>
      </c>
      <c r="G69" s="137">
        <v>0</v>
      </c>
      <c r="H69" s="137">
        <v>0</v>
      </c>
      <c r="I69" s="188">
        <f>SUM(C69:H69)</f>
        <v>7.6282800000000002</v>
      </c>
    </row>
    <row r="70" spans="2:10" x14ac:dyDescent="0.2">
      <c r="B70" s="91" t="s">
        <v>1872</v>
      </c>
      <c r="C70" s="85">
        <v>0</v>
      </c>
      <c r="D70" s="85">
        <v>0</v>
      </c>
      <c r="E70" s="82"/>
      <c r="F70" s="86">
        <v>0</v>
      </c>
      <c r="G70" s="137">
        <v>0</v>
      </c>
      <c r="H70" s="87">
        <v>1179.152</v>
      </c>
      <c r="I70" s="188">
        <f>SUM(C70:H70)</f>
        <v>1179.152</v>
      </c>
    </row>
    <row r="71" spans="2:10" x14ac:dyDescent="0.2">
      <c r="B71" s="84" t="s">
        <v>1871</v>
      </c>
      <c r="C71" s="85">
        <v>0</v>
      </c>
      <c r="D71" s="85">
        <v>0</v>
      </c>
      <c r="E71" s="85">
        <v>0</v>
      </c>
      <c r="F71" s="86">
        <v>0</v>
      </c>
      <c r="G71" s="87">
        <v>-3495.84</v>
      </c>
      <c r="H71" s="137">
        <v>0</v>
      </c>
      <c r="I71" s="188">
        <f>SUM(C71:H71)</f>
        <v>-3495.84</v>
      </c>
      <c r="J71" s="98"/>
    </row>
    <row r="72" spans="2:10" x14ac:dyDescent="0.2">
      <c r="B72" s="81" t="s">
        <v>1869</v>
      </c>
      <c r="C72" s="82">
        <f>SUM(C66:C71)</f>
        <v>273137.52944000001</v>
      </c>
      <c r="D72" s="82">
        <f t="shared" ref="D72:I72" si="9">SUM(D66:D71)</f>
        <v>181.18366000000003</v>
      </c>
      <c r="E72" s="82">
        <f t="shared" si="9"/>
        <v>8546.6066599999995</v>
      </c>
      <c r="F72" s="82">
        <f t="shared" si="9"/>
        <v>1494.4804300000001</v>
      </c>
      <c r="G72" s="138">
        <f t="shared" si="9"/>
        <v>-11153.597</v>
      </c>
      <c r="H72" s="138">
        <f t="shared" si="9"/>
        <v>-83781.624310000043</v>
      </c>
      <c r="I72" s="138">
        <f t="shared" si="9"/>
        <v>188424.57887999996</v>
      </c>
    </row>
    <row r="73" spans="2:10" x14ac:dyDescent="0.2">
      <c r="B73" s="91" t="s">
        <v>1782</v>
      </c>
      <c r="C73" s="85">
        <v>0</v>
      </c>
      <c r="D73" s="85">
        <v>0</v>
      </c>
      <c r="E73" s="85">
        <v>0</v>
      </c>
      <c r="F73" s="86">
        <v>0</v>
      </c>
      <c r="G73" s="137">
        <v>0</v>
      </c>
      <c r="H73" s="87">
        <v>5021.1402699999999</v>
      </c>
      <c r="I73" s="188">
        <f>SUM(C73:H73)</f>
        <v>5021.1402699999999</v>
      </c>
    </row>
    <row r="74" spans="2:10" x14ac:dyDescent="0.2">
      <c r="B74" s="91" t="s">
        <v>1787</v>
      </c>
      <c r="C74" s="85">
        <v>0</v>
      </c>
      <c r="D74" s="85">
        <v>0</v>
      </c>
      <c r="E74" s="85">
        <v>0</v>
      </c>
      <c r="F74" s="85">
        <v>7.04854</v>
      </c>
      <c r="G74" s="137">
        <v>0</v>
      </c>
      <c r="H74" s="137">
        <v>0</v>
      </c>
      <c r="I74" s="188">
        <f>SUM(C74:H74)</f>
        <v>7.04854</v>
      </c>
    </row>
    <row r="75" spans="2:10" x14ac:dyDescent="0.2">
      <c r="B75" s="91" t="s">
        <v>1872</v>
      </c>
      <c r="C75" s="85">
        <v>0</v>
      </c>
      <c r="D75" s="85">
        <v>0</v>
      </c>
      <c r="E75" s="82"/>
      <c r="F75" s="86">
        <v>0</v>
      </c>
      <c r="G75" s="137">
        <v>0</v>
      </c>
      <c r="H75" s="137">
        <f>1187364/1000</f>
        <v>1187.364</v>
      </c>
      <c r="I75" s="188">
        <f>SUM(C75:H75)</f>
        <v>1187.364</v>
      </c>
    </row>
    <row r="76" spans="2:10" x14ac:dyDescent="0.2">
      <c r="B76" s="84" t="s">
        <v>1871</v>
      </c>
      <c r="C76" s="85">
        <v>0</v>
      </c>
      <c r="D76" s="85">
        <v>0</v>
      </c>
      <c r="E76" s="85">
        <v>0</v>
      </c>
      <c r="F76" s="86">
        <v>0</v>
      </c>
      <c r="G76" s="87">
        <f>-741477/1000</f>
        <v>-741.47699999999998</v>
      </c>
      <c r="H76" s="137">
        <v>0</v>
      </c>
      <c r="I76" s="188">
        <f>SUM(C76:H76)</f>
        <v>-741.47699999999998</v>
      </c>
    </row>
    <row r="77" spans="2:10" x14ac:dyDescent="0.2">
      <c r="B77" s="81" t="s">
        <v>1878</v>
      </c>
      <c r="C77" s="82">
        <f>SUM(C72:C76)</f>
        <v>273137.52944000001</v>
      </c>
      <c r="D77" s="82">
        <f t="shared" ref="D77:I77" si="10">SUM(D72:D76)</f>
        <v>181.18366000000003</v>
      </c>
      <c r="E77" s="82">
        <f t="shared" si="10"/>
        <v>8546.6066599999995</v>
      </c>
      <c r="F77" s="82">
        <f>SUM(F72:F76)</f>
        <v>1501.5289700000001</v>
      </c>
      <c r="G77" s="82">
        <f t="shared" si="10"/>
        <v>-11895.074000000001</v>
      </c>
      <c r="H77" s="82">
        <f t="shared" si="10"/>
        <v>-77573.120040000038</v>
      </c>
      <c r="I77" s="82">
        <f t="shared" si="10"/>
        <v>193898.65468999994</v>
      </c>
    </row>
    <row r="79" spans="2:10" ht="15" x14ac:dyDescent="0.25">
      <c r="B79" s="477" t="s">
        <v>1877</v>
      </c>
      <c r="C79" s="477"/>
      <c r="D79" s="477"/>
      <c r="E79" s="477"/>
      <c r="F79" s="477"/>
      <c r="G79" s="477"/>
      <c r="H79" s="477"/>
      <c r="I79" s="477"/>
    </row>
    <row r="80" spans="2:10" x14ac:dyDescent="0.2">
      <c r="H80" s="98"/>
    </row>
    <row r="81" spans="8:9" x14ac:dyDescent="0.2">
      <c r="I81" s="98"/>
    </row>
    <row r="82" spans="8:9" x14ac:dyDescent="0.2">
      <c r="H82" s="98"/>
      <c r="I82" s="98"/>
    </row>
    <row r="84" spans="8:9" x14ac:dyDescent="0.2">
      <c r="I84" s="98"/>
    </row>
  </sheetData>
  <mergeCells count="8">
    <mergeCell ref="C24:D24"/>
    <mergeCell ref="B79:I79"/>
    <mergeCell ref="B14:I14"/>
    <mergeCell ref="B15:I15"/>
    <mergeCell ref="B17:I17"/>
    <mergeCell ref="B19:I19"/>
    <mergeCell ref="B20:I20"/>
    <mergeCell ref="B21:I21"/>
  </mergeCells>
  <printOptions horizontalCentered="1"/>
  <pageMargins left="0.47244094488188981" right="1.8110236220472442" top="0.78740157480314965" bottom="1.1811023622047245" header="1.1811023622047245" footer="1.299212598425197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showGridLines="0" topLeftCell="A57" zoomScaleNormal="100" zoomScaleSheetLayoutView="100" workbookViewId="0">
      <selection activeCell="A12" sqref="A12:F73"/>
    </sheetView>
  </sheetViews>
  <sheetFormatPr defaultColWidth="11.42578125" defaultRowHeight="14.25" x14ac:dyDescent="0.2"/>
  <cols>
    <col min="1" max="1" width="48.28515625" style="29" customWidth="1"/>
    <col min="2" max="2" width="11.5703125" style="29" customWidth="1"/>
    <col min="3" max="3" width="15.7109375" style="29" hidden="1" customWidth="1"/>
    <col min="4" max="4" width="14.85546875" style="29" bestFit="1" customWidth="1"/>
    <col min="5" max="5" width="3.42578125" style="29" customWidth="1"/>
    <col min="6" max="6" width="14.85546875" style="110" customWidth="1"/>
    <col min="7" max="11" width="11.42578125" style="29"/>
    <col min="12" max="12" width="13.42578125" style="224" bestFit="1" customWidth="1"/>
    <col min="13" max="212" width="11.42578125" style="29"/>
    <col min="213" max="213" width="48.28515625" style="29" customWidth="1"/>
    <col min="214" max="215" width="11.5703125" style="29" customWidth="1"/>
    <col min="216" max="216" width="15.7109375" style="29" customWidth="1"/>
    <col min="217" max="217" width="14.42578125" style="29" customWidth="1"/>
    <col min="218" max="218" width="0" style="29" hidden="1" customWidth="1"/>
    <col min="219" max="219" width="3.28515625" style="29" customWidth="1"/>
    <col min="220" max="220" width="0" style="29" hidden="1" customWidth="1"/>
    <col min="221" max="221" width="14.85546875" style="29" bestFit="1" customWidth="1"/>
    <col min="222" max="222" width="11.5703125" style="29" bestFit="1" customWidth="1"/>
    <col min="223" max="223" width="11.42578125" style="29"/>
    <col min="224" max="224" width="17.7109375" style="29" bestFit="1" customWidth="1"/>
    <col min="225" max="468" width="11.42578125" style="29"/>
    <col min="469" max="469" width="48.28515625" style="29" customWidth="1"/>
    <col min="470" max="471" width="11.5703125" style="29" customWidth="1"/>
    <col min="472" max="472" width="15.7109375" style="29" customWidth="1"/>
    <col min="473" max="473" width="14.42578125" style="29" customWidth="1"/>
    <col min="474" max="474" width="0" style="29" hidden="1" customWidth="1"/>
    <col min="475" max="475" width="3.28515625" style="29" customWidth="1"/>
    <col min="476" max="476" width="0" style="29" hidden="1" customWidth="1"/>
    <col min="477" max="477" width="14.85546875" style="29" bestFit="1" customWidth="1"/>
    <col min="478" max="478" width="11.5703125" style="29" bestFit="1" customWidth="1"/>
    <col min="479" max="479" width="11.42578125" style="29"/>
    <col min="480" max="480" width="17.7109375" style="29" bestFit="1" customWidth="1"/>
    <col min="481" max="724" width="11.42578125" style="29"/>
    <col min="725" max="725" width="48.28515625" style="29" customWidth="1"/>
    <col min="726" max="727" width="11.5703125" style="29" customWidth="1"/>
    <col min="728" max="728" width="15.7109375" style="29" customWidth="1"/>
    <col min="729" max="729" width="14.42578125" style="29" customWidth="1"/>
    <col min="730" max="730" width="0" style="29" hidden="1" customWidth="1"/>
    <col min="731" max="731" width="3.28515625" style="29" customWidth="1"/>
    <col min="732" max="732" width="0" style="29" hidden="1" customWidth="1"/>
    <col min="733" max="733" width="14.85546875" style="29" bestFit="1" customWidth="1"/>
    <col min="734" max="734" width="11.5703125" style="29" bestFit="1" customWidth="1"/>
    <col min="735" max="735" width="11.42578125" style="29"/>
    <col min="736" max="736" width="17.7109375" style="29" bestFit="1" customWidth="1"/>
    <col min="737" max="980" width="11.42578125" style="29"/>
    <col min="981" max="981" width="48.28515625" style="29" customWidth="1"/>
    <col min="982" max="983" width="11.5703125" style="29" customWidth="1"/>
    <col min="984" max="984" width="15.7109375" style="29" customWidth="1"/>
    <col min="985" max="985" width="14.42578125" style="29" customWidth="1"/>
    <col min="986" max="986" width="0" style="29" hidden="1" customWidth="1"/>
    <col min="987" max="987" width="3.28515625" style="29" customWidth="1"/>
    <col min="988" max="988" width="0" style="29" hidden="1" customWidth="1"/>
    <col min="989" max="989" width="14.85546875" style="29" bestFit="1" customWidth="1"/>
    <col min="990" max="990" width="11.5703125" style="29" bestFit="1" customWidth="1"/>
    <col min="991" max="991" width="11.42578125" style="29"/>
    <col min="992" max="992" width="17.7109375" style="29" bestFit="1" customWidth="1"/>
    <col min="993" max="1236" width="11.42578125" style="29"/>
    <col min="1237" max="1237" width="48.28515625" style="29" customWidth="1"/>
    <col min="1238" max="1239" width="11.5703125" style="29" customWidth="1"/>
    <col min="1240" max="1240" width="15.7109375" style="29" customWidth="1"/>
    <col min="1241" max="1241" width="14.42578125" style="29" customWidth="1"/>
    <col min="1242" max="1242" width="0" style="29" hidden="1" customWidth="1"/>
    <col min="1243" max="1243" width="3.28515625" style="29" customWidth="1"/>
    <col min="1244" max="1244" width="0" style="29" hidden="1" customWidth="1"/>
    <col min="1245" max="1245" width="14.85546875" style="29" bestFit="1" customWidth="1"/>
    <col min="1246" max="1246" width="11.5703125" style="29" bestFit="1" customWidth="1"/>
    <col min="1247" max="1247" width="11.42578125" style="29"/>
    <col min="1248" max="1248" width="17.7109375" style="29" bestFit="1" customWidth="1"/>
    <col min="1249" max="1492" width="11.42578125" style="29"/>
    <col min="1493" max="1493" width="48.28515625" style="29" customWidth="1"/>
    <col min="1494" max="1495" width="11.5703125" style="29" customWidth="1"/>
    <col min="1496" max="1496" width="15.7109375" style="29" customWidth="1"/>
    <col min="1497" max="1497" width="14.42578125" style="29" customWidth="1"/>
    <col min="1498" max="1498" width="0" style="29" hidden="1" customWidth="1"/>
    <col min="1499" max="1499" width="3.28515625" style="29" customWidth="1"/>
    <col min="1500" max="1500" width="0" style="29" hidden="1" customWidth="1"/>
    <col min="1501" max="1501" width="14.85546875" style="29" bestFit="1" customWidth="1"/>
    <col min="1502" max="1502" width="11.5703125" style="29" bestFit="1" customWidth="1"/>
    <col min="1503" max="1503" width="11.42578125" style="29"/>
    <col min="1504" max="1504" width="17.7109375" style="29" bestFit="1" customWidth="1"/>
    <col min="1505" max="1748" width="11.42578125" style="29"/>
    <col min="1749" max="1749" width="48.28515625" style="29" customWidth="1"/>
    <col min="1750" max="1751" width="11.5703125" style="29" customWidth="1"/>
    <col min="1752" max="1752" width="15.7109375" style="29" customWidth="1"/>
    <col min="1753" max="1753" width="14.42578125" style="29" customWidth="1"/>
    <col min="1754" max="1754" width="0" style="29" hidden="1" customWidth="1"/>
    <col min="1755" max="1755" width="3.28515625" style="29" customWidth="1"/>
    <col min="1756" max="1756" width="0" style="29" hidden="1" customWidth="1"/>
    <col min="1757" max="1757" width="14.85546875" style="29" bestFit="1" customWidth="1"/>
    <col min="1758" max="1758" width="11.5703125" style="29" bestFit="1" customWidth="1"/>
    <col min="1759" max="1759" width="11.42578125" style="29"/>
    <col min="1760" max="1760" width="17.7109375" style="29" bestFit="1" customWidth="1"/>
    <col min="1761" max="2004" width="11.42578125" style="29"/>
    <col min="2005" max="2005" width="48.28515625" style="29" customWidth="1"/>
    <col min="2006" max="2007" width="11.5703125" style="29" customWidth="1"/>
    <col min="2008" max="2008" width="15.7109375" style="29" customWidth="1"/>
    <col min="2009" max="2009" width="14.42578125" style="29" customWidth="1"/>
    <col min="2010" max="2010" width="0" style="29" hidden="1" customWidth="1"/>
    <col min="2011" max="2011" width="3.28515625" style="29" customWidth="1"/>
    <col min="2012" max="2012" width="0" style="29" hidden="1" customWidth="1"/>
    <col min="2013" max="2013" width="14.85546875" style="29" bestFit="1" customWidth="1"/>
    <col min="2014" max="2014" width="11.5703125" style="29" bestFit="1" customWidth="1"/>
    <col min="2015" max="2015" width="11.42578125" style="29"/>
    <col min="2016" max="2016" width="17.7109375" style="29" bestFit="1" customWidth="1"/>
    <col min="2017" max="2260" width="11.42578125" style="29"/>
    <col min="2261" max="2261" width="48.28515625" style="29" customWidth="1"/>
    <col min="2262" max="2263" width="11.5703125" style="29" customWidth="1"/>
    <col min="2264" max="2264" width="15.7109375" style="29" customWidth="1"/>
    <col min="2265" max="2265" width="14.42578125" style="29" customWidth="1"/>
    <col min="2266" max="2266" width="0" style="29" hidden="1" customWidth="1"/>
    <col min="2267" max="2267" width="3.28515625" style="29" customWidth="1"/>
    <col min="2268" max="2268" width="0" style="29" hidden="1" customWidth="1"/>
    <col min="2269" max="2269" width="14.85546875" style="29" bestFit="1" customWidth="1"/>
    <col min="2270" max="2270" width="11.5703125" style="29" bestFit="1" customWidth="1"/>
    <col min="2271" max="2271" width="11.42578125" style="29"/>
    <col min="2272" max="2272" width="17.7109375" style="29" bestFit="1" customWidth="1"/>
    <col min="2273" max="2516" width="11.42578125" style="29"/>
    <col min="2517" max="2517" width="48.28515625" style="29" customWidth="1"/>
    <col min="2518" max="2519" width="11.5703125" style="29" customWidth="1"/>
    <col min="2520" max="2520" width="15.7109375" style="29" customWidth="1"/>
    <col min="2521" max="2521" width="14.42578125" style="29" customWidth="1"/>
    <col min="2522" max="2522" width="0" style="29" hidden="1" customWidth="1"/>
    <col min="2523" max="2523" width="3.28515625" style="29" customWidth="1"/>
    <col min="2524" max="2524" width="0" style="29" hidden="1" customWidth="1"/>
    <col min="2525" max="2525" width="14.85546875" style="29" bestFit="1" customWidth="1"/>
    <col min="2526" max="2526" width="11.5703125" style="29" bestFit="1" customWidth="1"/>
    <col min="2527" max="2527" width="11.42578125" style="29"/>
    <col min="2528" max="2528" width="17.7109375" style="29" bestFit="1" customWidth="1"/>
    <col min="2529" max="2772" width="11.42578125" style="29"/>
    <col min="2773" max="2773" width="48.28515625" style="29" customWidth="1"/>
    <col min="2774" max="2775" width="11.5703125" style="29" customWidth="1"/>
    <col min="2776" max="2776" width="15.7109375" style="29" customWidth="1"/>
    <col min="2777" max="2777" width="14.42578125" style="29" customWidth="1"/>
    <col min="2778" max="2778" width="0" style="29" hidden="1" customWidth="1"/>
    <col min="2779" max="2779" width="3.28515625" style="29" customWidth="1"/>
    <col min="2780" max="2780" width="0" style="29" hidden="1" customWidth="1"/>
    <col min="2781" max="2781" width="14.85546875" style="29" bestFit="1" customWidth="1"/>
    <col min="2782" max="2782" width="11.5703125" style="29" bestFit="1" customWidth="1"/>
    <col min="2783" max="2783" width="11.42578125" style="29"/>
    <col min="2784" max="2784" width="17.7109375" style="29" bestFit="1" customWidth="1"/>
    <col min="2785" max="3028" width="11.42578125" style="29"/>
    <col min="3029" max="3029" width="48.28515625" style="29" customWidth="1"/>
    <col min="3030" max="3031" width="11.5703125" style="29" customWidth="1"/>
    <col min="3032" max="3032" width="15.7109375" style="29" customWidth="1"/>
    <col min="3033" max="3033" width="14.42578125" style="29" customWidth="1"/>
    <col min="3034" max="3034" width="0" style="29" hidden="1" customWidth="1"/>
    <col min="3035" max="3035" width="3.28515625" style="29" customWidth="1"/>
    <col min="3036" max="3036" width="0" style="29" hidden="1" customWidth="1"/>
    <col min="3037" max="3037" width="14.85546875" style="29" bestFit="1" customWidth="1"/>
    <col min="3038" max="3038" width="11.5703125" style="29" bestFit="1" customWidth="1"/>
    <col min="3039" max="3039" width="11.42578125" style="29"/>
    <col min="3040" max="3040" width="17.7109375" style="29" bestFit="1" customWidth="1"/>
    <col min="3041" max="3284" width="11.42578125" style="29"/>
    <col min="3285" max="3285" width="48.28515625" style="29" customWidth="1"/>
    <col min="3286" max="3287" width="11.5703125" style="29" customWidth="1"/>
    <col min="3288" max="3288" width="15.7109375" style="29" customWidth="1"/>
    <col min="3289" max="3289" width="14.42578125" style="29" customWidth="1"/>
    <col min="3290" max="3290" width="0" style="29" hidden="1" customWidth="1"/>
    <col min="3291" max="3291" width="3.28515625" style="29" customWidth="1"/>
    <col min="3292" max="3292" width="0" style="29" hidden="1" customWidth="1"/>
    <col min="3293" max="3293" width="14.85546875" style="29" bestFit="1" customWidth="1"/>
    <col min="3294" max="3294" width="11.5703125" style="29" bestFit="1" customWidth="1"/>
    <col min="3295" max="3295" width="11.42578125" style="29"/>
    <col min="3296" max="3296" width="17.7109375" style="29" bestFit="1" customWidth="1"/>
    <col min="3297" max="3540" width="11.42578125" style="29"/>
    <col min="3541" max="3541" width="48.28515625" style="29" customWidth="1"/>
    <col min="3542" max="3543" width="11.5703125" style="29" customWidth="1"/>
    <col min="3544" max="3544" width="15.7109375" style="29" customWidth="1"/>
    <col min="3545" max="3545" width="14.42578125" style="29" customWidth="1"/>
    <col min="3546" max="3546" width="0" style="29" hidden="1" customWidth="1"/>
    <col min="3547" max="3547" width="3.28515625" style="29" customWidth="1"/>
    <col min="3548" max="3548" width="0" style="29" hidden="1" customWidth="1"/>
    <col min="3549" max="3549" width="14.85546875" style="29" bestFit="1" customWidth="1"/>
    <col min="3550" max="3550" width="11.5703125" style="29" bestFit="1" customWidth="1"/>
    <col min="3551" max="3551" width="11.42578125" style="29"/>
    <col min="3552" max="3552" width="17.7109375" style="29" bestFit="1" customWidth="1"/>
    <col min="3553" max="3796" width="11.42578125" style="29"/>
    <col min="3797" max="3797" width="48.28515625" style="29" customWidth="1"/>
    <col min="3798" max="3799" width="11.5703125" style="29" customWidth="1"/>
    <col min="3800" max="3800" width="15.7109375" style="29" customWidth="1"/>
    <col min="3801" max="3801" width="14.42578125" style="29" customWidth="1"/>
    <col min="3802" max="3802" width="0" style="29" hidden="1" customWidth="1"/>
    <col min="3803" max="3803" width="3.28515625" style="29" customWidth="1"/>
    <col min="3804" max="3804" width="0" style="29" hidden="1" customWidth="1"/>
    <col min="3805" max="3805" width="14.85546875" style="29" bestFit="1" customWidth="1"/>
    <col min="3806" max="3806" width="11.5703125" style="29" bestFit="1" customWidth="1"/>
    <col min="3807" max="3807" width="11.42578125" style="29"/>
    <col min="3808" max="3808" width="17.7109375" style="29" bestFit="1" customWidth="1"/>
    <col min="3809" max="4052" width="11.42578125" style="29"/>
    <col min="4053" max="4053" width="48.28515625" style="29" customWidth="1"/>
    <col min="4054" max="4055" width="11.5703125" style="29" customWidth="1"/>
    <col min="4056" max="4056" width="15.7109375" style="29" customWidth="1"/>
    <col min="4057" max="4057" width="14.42578125" style="29" customWidth="1"/>
    <col min="4058" max="4058" width="0" style="29" hidden="1" customWidth="1"/>
    <col min="4059" max="4059" width="3.28515625" style="29" customWidth="1"/>
    <col min="4060" max="4060" width="0" style="29" hidden="1" customWidth="1"/>
    <col min="4061" max="4061" width="14.85546875" style="29" bestFit="1" customWidth="1"/>
    <col min="4062" max="4062" width="11.5703125" style="29" bestFit="1" customWidth="1"/>
    <col min="4063" max="4063" width="11.42578125" style="29"/>
    <col min="4064" max="4064" width="17.7109375" style="29" bestFit="1" customWidth="1"/>
    <col min="4065" max="4308" width="11.42578125" style="29"/>
    <col min="4309" max="4309" width="48.28515625" style="29" customWidth="1"/>
    <col min="4310" max="4311" width="11.5703125" style="29" customWidth="1"/>
    <col min="4312" max="4312" width="15.7109375" style="29" customWidth="1"/>
    <col min="4313" max="4313" width="14.42578125" style="29" customWidth="1"/>
    <col min="4314" max="4314" width="0" style="29" hidden="1" customWidth="1"/>
    <col min="4315" max="4315" width="3.28515625" style="29" customWidth="1"/>
    <col min="4316" max="4316" width="0" style="29" hidden="1" customWidth="1"/>
    <col min="4317" max="4317" width="14.85546875" style="29" bestFit="1" customWidth="1"/>
    <col min="4318" max="4318" width="11.5703125" style="29" bestFit="1" customWidth="1"/>
    <col min="4319" max="4319" width="11.42578125" style="29"/>
    <col min="4320" max="4320" width="17.7109375" style="29" bestFit="1" customWidth="1"/>
    <col min="4321" max="4564" width="11.42578125" style="29"/>
    <col min="4565" max="4565" width="48.28515625" style="29" customWidth="1"/>
    <col min="4566" max="4567" width="11.5703125" style="29" customWidth="1"/>
    <col min="4568" max="4568" width="15.7109375" style="29" customWidth="1"/>
    <col min="4569" max="4569" width="14.42578125" style="29" customWidth="1"/>
    <col min="4570" max="4570" width="0" style="29" hidden="1" customWidth="1"/>
    <col min="4571" max="4571" width="3.28515625" style="29" customWidth="1"/>
    <col min="4572" max="4572" width="0" style="29" hidden="1" customWidth="1"/>
    <col min="4573" max="4573" width="14.85546875" style="29" bestFit="1" customWidth="1"/>
    <col min="4574" max="4574" width="11.5703125" style="29" bestFit="1" customWidth="1"/>
    <col min="4575" max="4575" width="11.42578125" style="29"/>
    <col min="4576" max="4576" width="17.7109375" style="29" bestFit="1" customWidth="1"/>
    <col min="4577" max="4820" width="11.42578125" style="29"/>
    <col min="4821" max="4821" width="48.28515625" style="29" customWidth="1"/>
    <col min="4822" max="4823" width="11.5703125" style="29" customWidth="1"/>
    <col min="4824" max="4824" width="15.7109375" style="29" customWidth="1"/>
    <col min="4825" max="4825" width="14.42578125" style="29" customWidth="1"/>
    <col min="4826" max="4826" width="0" style="29" hidden="1" customWidth="1"/>
    <col min="4827" max="4827" width="3.28515625" style="29" customWidth="1"/>
    <col min="4828" max="4828" width="0" style="29" hidden="1" customWidth="1"/>
    <col min="4829" max="4829" width="14.85546875" style="29" bestFit="1" customWidth="1"/>
    <col min="4830" max="4830" width="11.5703125" style="29" bestFit="1" customWidth="1"/>
    <col min="4831" max="4831" width="11.42578125" style="29"/>
    <col min="4832" max="4832" width="17.7109375" style="29" bestFit="1" customWidth="1"/>
    <col min="4833" max="5076" width="11.42578125" style="29"/>
    <col min="5077" max="5077" width="48.28515625" style="29" customWidth="1"/>
    <col min="5078" max="5079" width="11.5703125" style="29" customWidth="1"/>
    <col min="5080" max="5080" width="15.7109375" style="29" customWidth="1"/>
    <col min="5081" max="5081" width="14.42578125" style="29" customWidth="1"/>
    <col min="5082" max="5082" width="0" style="29" hidden="1" customWidth="1"/>
    <col min="5083" max="5083" width="3.28515625" style="29" customWidth="1"/>
    <col min="5084" max="5084" width="0" style="29" hidden="1" customWidth="1"/>
    <col min="5085" max="5085" width="14.85546875" style="29" bestFit="1" customWidth="1"/>
    <col min="5086" max="5086" width="11.5703125" style="29" bestFit="1" customWidth="1"/>
    <col min="5087" max="5087" width="11.42578125" style="29"/>
    <col min="5088" max="5088" width="17.7109375" style="29" bestFit="1" customWidth="1"/>
    <col min="5089" max="5332" width="11.42578125" style="29"/>
    <col min="5333" max="5333" width="48.28515625" style="29" customWidth="1"/>
    <col min="5334" max="5335" width="11.5703125" style="29" customWidth="1"/>
    <col min="5336" max="5336" width="15.7109375" style="29" customWidth="1"/>
    <col min="5337" max="5337" width="14.42578125" style="29" customWidth="1"/>
    <col min="5338" max="5338" width="0" style="29" hidden="1" customWidth="1"/>
    <col min="5339" max="5339" width="3.28515625" style="29" customWidth="1"/>
    <col min="5340" max="5340" width="0" style="29" hidden="1" customWidth="1"/>
    <col min="5341" max="5341" width="14.85546875" style="29" bestFit="1" customWidth="1"/>
    <col min="5342" max="5342" width="11.5703125" style="29" bestFit="1" customWidth="1"/>
    <col min="5343" max="5343" width="11.42578125" style="29"/>
    <col min="5344" max="5344" width="17.7109375" style="29" bestFit="1" customWidth="1"/>
    <col min="5345" max="5588" width="11.42578125" style="29"/>
    <col min="5589" max="5589" width="48.28515625" style="29" customWidth="1"/>
    <col min="5590" max="5591" width="11.5703125" style="29" customWidth="1"/>
    <col min="5592" max="5592" width="15.7109375" style="29" customWidth="1"/>
    <col min="5593" max="5593" width="14.42578125" style="29" customWidth="1"/>
    <col min="5594" max="5594" width="0" style="29" hidden="1" customWidth="1"/>
    <col min="5595" max="5595" width="3.28515625" style="29" customWidth="1"/>
    <col min="5596" max="5596" width="0" style="29" hidden="1" customWidth="1"/>
    <col min="5597" max="5597" width="14.85546875" style="29" bestFit="1" customWidth="1"/>
    <col min="5598" max="5598" width="11.5703125" style="29" bestFit="1" customWidth="1"/>
    <col min="5599" max="5599" width="11.42578125" style="29"/>
    <col min="5600" max="5600" width="17.7109375" style="29" bestFit="1" customWidth="1"/>
    <col min="5601" max="5844" width="11.42578125" style="29"/>
    <col min="5845" max="5845" width="48.28515625" style="29" customWidth="1"/>
    <col min="5846" max="5847" width="11.5703125" style="29" customWidth="1"/>
    <col min="5848" max="5848" width="15.7109375" style="29" customWidth="1"/>
    <col min="5849" max="5849" width="14.42578125" style="29" customWidth="1"/>
    <col min="5850" max="5850" width="0" style="29" hidden="1" customWidth="1"/>
    <col min="5851" max="5851" width="3.28515625" style="29" customWidth="1"/>
    <col min="5852" max="5852" width="0" style="29" hidden="1" customWidth="1"/>
    <col min="5853" max="5853" width="14.85546875" style="29" bestFit="1" customWidth="1"/>
    <col min="5854" max="5854" width="11.5703125" style="29" bestFit="1" customWidth="1"/>
    <col min="5855" max="5855" width="11.42578125" style="29"/>
    <col min="5856" max="5856" width="17.7109375" style="29" bestFit="1" customWidth="1"/>
    <col min="5857" max="6100" width="11.42578125" style="29"/>
    <col min="6101" max="6101" width="48.28515625" style="29" customWidth="1"/>
    <col min="6102" max="6103" width="11.5703125" style="29" customWidth="1"/>
    <col min="6104" max="6104" width="15.7109375" style="29" customWidth="1"/>
    <col min="6105" max="6105" width="14.42578125" style="29" customWidth="1"/>
    <col min="6106" max="6106" width="0" style="29" hidden="1" customWidth="1"/>
    <col min="6107" max="6107" width="3.28515625" style="29" customWidth="1"/>
    <col min="6108" max="6108" width="0" style="29" hidden="1" customWidth="1"/>
    <col min="6109" max="6109" width="14.85546875" style="29" bestFit="1" customWidth="1"/>
    <col min="6110" max="6110" width="11.5703125" style="29" bestFit="1" customWidth="1"/>
    <col min="6111" max="6111" width="11.42578125" style="29"/>
    <col min="6112" max="6112" width="17.7109375" style="29" bestFit="1" customWidth="1"/>
    <col min="6113" max="6356" width="11.42578125" style="29"/>
    <col min="6357" max="6357" width="48.28515625" style="29" customWidth="1"/>
    <col min="6358" max="6359" width="11.5703125" style="29" customWidth="1"/>
    <col min="6360" max="6360" width="15.7109375" style="29" customWidth="1"/>
    <col min="6361" max="6361" width="14.42578125" style="29" customWidth="1"/>
    <col min="6362" max="6362" width="0" style="29" hidden="1" customWidth="1"/>
    <col min="6363" max="6363" width="3.28515625" style="29" customWidth="1"/>
    <col min="6364" max="6364" width="0" style="29" hidden="1" customWidth="1"/>
    <col min="6365" max="6365" width="14.85546875" style="29" bestFit="1" customWidth="1"/>
    <col min="6366" max="6366" width="11.5703125" style="29" bestFit="1" customWidth="1"/>
    <col min="6367" max="6367" width="11.42578125" style="29"/>
    <col min="6368" max="6368" width="17.7109375" style="29" bestFit="1" customWidth="1"/>
    <col min="6369" max="6612" width="11.42578125" style="29"/>
    <col min="6613" max="6613" width="48.28515625" style="29" customWidth="1"/>
    <col min="6614" max="6615" width="11.5703125" style="29" customWidth="1"/>
    <col min="6616" max="6616" width="15.7109375" style="29" customWidth="1"/>
    <col min="6617" max="6617" width="14.42578125" style="29" customWidth="1"/>
    <col min="6618" max="6618" width="0" style="29" hidden="1" customWidth="1"/>
    <col min="6619" max="6619" width="3.28515625" style="29" customWidth="1"/>
    <col min="6620" max="6620" width="0" style="29" hidden="1" customWidth="1"/>
    <col min="6621" max="6621" width="14.85546875" style="29" bestFit="1" customWidth="1"/>
    <col min="6622" max="6622" width="11.5703125" style="29" bestFit="1" customWidth="1"/>
    <col min="6623" max="6623" width="11.42578125" style="29"/>
    <col min="6624" max="6624" width="17.7109375" style="29" bestFit="1" customWidth="1"/>
    <col min="6625" max="6868" width="11.42578125" style="29"/>
    <col min="6869" max="6869" width="48.28515625" style="29" customWidth="1"/>
    <col min="6870" max="6871" width="11.5703125" style="29" customWidth="1"/>
    <col min="6872" max="6872" width="15.7109375" style="29" customWidth="1"/>
    <col min="6873" max="6873" width="14.42578125" style="29" customWidth="1"/>
    <col min="6874" max="6874" width="0" style="29" hidden="1" customWidth="1"/>
    <col min="6875" max="6875" width="3.28515625" style="29" customWidth="1"/>
    <col min="6876" max="6876" width="0" style="29" hidden="1" customWidth="1"/>
    <col min="6877" max="6877" width="14.85546875" style="29" bestFit="1" customWidth="1"/>
    <col min="6878" max="6878" width="11.5703125" style="29" bestFit="1" customWidth="1"/>
    <col min="6879" max="6879" width="11.42578125" style="29"/>
    <col min="6880" max="6880" width="17.7109375" style="29" bestFit="1" customWidth="1"/>
    <col min="6881" max="7124" width="11.42578125" style="29"/>
    <col min="7125" max="7125" width="48.28515625" style="29" customWidth="1"/>
    <col min="7126" max="7127" width="11.5703125" style="29" customWidth="1"/>
    <col min="7128" max="7128" width="15.7109375" style="29" customWidth="1"/>
    <col min="7129" max="7129" width="14.42578125" style="29" customWidth="1"/>
    <col min="7130" max="7130" width="0" style="29" hidden="1" customWidth="1"/>
    <col min="7131" max="7131" width="3.28515625" style="29" customWidth="1"/>
    <col min="7132" max="7132" width="0" style="29" hidden="1" customWidth="1"/>
    <col min="7133" max="7133" width="14.85546875" style="29" bestFit="1" customWidth="1"/>
    <col min="7134" max="7134" width="11.5703125" style="29" bestFit="1" customWidth="1"/>
    <col min="7135" max="7135" width="11.42578125" style="29"/>
    <col min="7136" max="7136" width="17.7109375" style="29" bestFit="1" customWidth="1"/>
    <col min="7137" max="7380" width="11.42578125" style="29"/>
    <col min="7381" max="7381" width="48.28515625" style="29" customWidth="1"/>
    <col min="7382" max="7383" width="11.5703125" style="29" customWidth="1"/>
    <col min="7384" max="7384" width="15.7109375" style="29" customWidth="1"/>
    <col min="7385" max="7385" width="14.42578125" style="29" customWidth="1"/>
    <col min="7386" max="7386" width="0" style="29" hidden="1" customWidth="1"/>
    <col min="7387" max="7387" width="3.28515625" style="29" customWidth="1"/>
    <col min="7388" max="7388" width="0" style="29" hidden="1" customWidth="1"/>
    <col min="7389" max="7389" width="14.85546875" style="29" bestFit="1" customWidth="1"/>
    <col min="7390" max="7390" width="11.5703125" style="29" bestFit="1" customWidth="1"/>
    <col min="7391" max="7391" width="11.42578125" style="29"/>
    <col min="7392" max="7392" width="17.7109375" style="29" bestFit="1" customWidth="1"/>
    <col min="7393" max="7636" width="11.42578125" style="29"/>
    <col min="7637" max="7637" width="48.28515625" style="29" customWidth="1"/>
    <col min="7638" max="7639" width="11.5703125" style="29" customWidth="1"/>
    <col min="7640" max="7640" width="15.7109375" style="29" customWidth="1"/>
    <col min="7641" max="7641" width="14.42578125" style="29" customWidth="1"/>
    <col min="7642" max="7642" width="0" style="29" hidden="1" customWidth="1"/>
    <col min="7643" max="7643" width="3.28515625" style="29" customWidth="1"/>
    <col min="7644" max="7644" width="0" style="29" hidden="1" customWidth="1"/>
    <col min="7645" max="7645" width="14.85546875" style="29" bestFit="1" customWidth="1"/>
    <col min="7646" max="7646" width="11.5703125" style="29" bestFit="1" customWidth="1"/>
    <col min="7647" max="7647" width="11.42578125" style="29"/>
    <col min="7648" max="7648" width="17.7109375" style="29" bestFit="1" customWidth="1"/>
    <col min="7649" max="7892" width="11.42578125" style="29"/>
    <col min="7893" max="7893" width="48.28515625" style="29" customWidth="1"/>
    <col min="7894" max="7895" width="11.5703125" style="29" customWidth="1"/>
    <col min="7896" max="7896" width="15.7109375" style="29" customWidth="1"/>
    <col min="7897" max="7897" width="14.42578125" style="29" customWidth="1"/>
    <col min="7898" max="7898" width="0" style="29" hidden="1" customWidth="1"/>
    <col min="7899" max="7899" width="3.28515625" style="29" customWidth="1"/>
    <col min="7900" max="7900" width="0" style="29" hidden="1" customWidth="1"/>
    <col min="7901" max="7901" width="14.85546875" style="29" bestFit="1" customWidth="1"/>
    <col min="7902" max="7902" width="11.5703125" style="29" bestFit="1" customWidth="1"/>
    <col min="7903" max="7903" width="11.42578125" style="29"/>
    <col min="7904" max="7904" width="17.7109375" style="29" bestFit="1" customWidth="1"/>
    <col min="7905" max="8148" width="11.42578125" style="29"/>
    <col min="8149" max="8149" width="48.28515625" style="29" customWidth="1"/>
    <col min="8150" max="8151" width="11.5703125" style="29" customWidth="1"/>
    <col min="8152" max="8152" width="15.7109375" style="29" customWidth="1"/>
    <col min="8153" max="8153" width="14.42578125" style="29" customWidth="1"/>
    <col min="8154" max="8154" width="0" style="29" hidden="1" customWidth="1"/>
    <col min="8155" max="8155" width="3.28515625" style="29" customWidth="1"/>
    <col min="8156" max="8156" width="0" style="29" hidden="1" customWidth="1"/>
    <col min="8157" max="8157" width="14.85546875" style="29" bestFit="1" customWidth="1"/>
    <col min="8158" max="8158" width="11.5703125" style="29" bestFit="1" customWidth="1"/>
    <col min="8159" max="8159" width="11.42578125" style="29"/>
    <col min="8160" max="8160" width="17.7109375" style="29" bestFit="1" customWidth="1"/>
    <col min="8161" max="8404" width="11.42578125" style="29"/>
    <col min="8405" max="8405" width="48.28515625" style="29" customWidth="1"/>
    <col min="8406" max="8407" width="11.5703125" style="29" customWidth="1"/>
    <col min="8408" max="8408" width="15.7109375" style="29" customWidth="1"/>
    <col min="8409" max="8409" width="14.42578125" style="29" customWidth="1"/>
    <col min="8410" max="8410" width="0" style="29" hidden="1" customWidth="1"/>
    <col min="8411" max="8411" width="3.28515625" style="29" customWidth="1"/>
    <col min="8412" max="8412" width="0" style="29" hidden="1" customWidth="1"/>
    <col min="8413" max="8413" width="14.85546875" style="29" bestFit="1" customWidth="1"/>
    <col min="8414" max="8414" width="11.5703125" style="29" bestFit="1" customWidth="1"/>
    <col min="8415" max="8415" width="11.42578125" style="29"/>
    <col min="8416" max="8416" width="17.7109375" style="29" bestFit="1" customWidth="1"/>
    <col min="8417" max="8660" width="11.42578125" style="29"/>
    <col min="8661" max="8661" width="48.28515625" style="29" customWidth="1"/>
    <col min="8662" max="8663" width="11.5703125" style="29" customWidth="1"/>
    <col min="8664" max="8664" width="15.7109375" style="29" customWidth="1"/>
    <col min="8665" max="8665" width="14.42578125" style="29" customWidth="1"/>
    <col min="8666" max="8666" width="0" style="29" hidden="1" customWidth="1"/>
    <col min="8667" max="8667" width="3.28515625" style="29" customWidth="1"/>
    <col min="8668" max="8668" width="0" style="29" hidden="1" customWidth="1"/>
    <col min="8669" max="8669" width="14.85546875" style="29" bestFit="1" customWidth="1"/>
    <col min="8670" max="8670" width="11.5703125" style="29" bestFit="1" customWidth="1"/>
    <col min="8671" max="8671" width="11.42578125" style="29"/>
    <col min="8672" max="8672" width="17.7109375" style="29" bestFit="1" customWidth="1"/>
    <col min="8673" max="8916" width="11.42578125" style="29"/>
    <col min="8917" max="8917" width="48.28515625" style="29" customWidth="1"/>
    <col min="8918" max="8919" width="11.5703125" style="29" customWidth="1"/>
    <col min="8920" max="8920" width="15.7109375" style="29" customWidth="1"/>
    <col min="8921" max="8921" width="14.42578125" style="29" customWidth="1"/>
    <col min="8922" max="8922" width="0" style="29" hidden="1" customWidth="1"/>
    <col min="8923" max="8923" width="3.28515625" style="29" customWidth="1"/>
    <col min="8924" max="8924" width="0" style="29" hidden="1" customWidth="1"/>
    <col min="8925" max="8925" width="14.85546875" style="29" bestFit="1" customWidth="1"/>
    <col min="8926" max="8926" width="11.5703125" style="29" bestFit="1" customWidth="1"/>
    <col min="8927" max="8927" width="11.42578125" style="29"/>
    <col min="8928" max="8928" width="17.7109375" style="29" bestFit="1" customWidth="1"/>
    <col min="8929" max="9172" width="11.42578125" style="29"/>
    <col min="9173" max="9173" width="48.28515625" style="29" customWidth="1"/>
    <col min="9174" max="9175" width="11.5703125" style="29" customWidth="1"/>
    <col min="9176" max="9176" width="15.7109375" style="29" customWidth="1"/>
    <col min="9177" max="9177" width="14.42578125" style="29" customWidth="1"/>
    <col min="9178" max="9178" width="0" style="29" hidden="1" customWidth="1"/>
    <col min="9179" max="9179" width="3.28515625" style="29" customWidth="1"/>
    <col min="9180" max="9180" width="0" style="29" hidden="1" customWidth="1"/>
    <col min="9181" max="9181" width="14.85546875" style="29" bestFit="1" customWidth="1"/>
    <col min="9182" max="9182" width="11.5703125" style="29" bestFit="1" customWidth="1"/>
    <col min="9183" max="9183" width="11.42578125" style="29"/>
    <col min="9184" max="9184" width="17.7109375" style="29" bestFit="1" customWidth="1"/>
    <col min="9185" max="9428" width="11.42578125" style="29"/>
    <col min="9429" max="9429" width="48.28515625" style="29" customWidth="1"/>
    <col min="9430" max="9431" width="11.5703125" style="29" customWidth="1"/>
    <col min="9432" max="9432" width="15.7109375" style="29" customWidth="1"/>
    <col min="9433" max="9433" width="14.42578125" style="29" customWidth="1"/>
    <col min="9434" max="9434" width="0" style="29" hidden="1" customWidth="1"/>
    <col min="9435" max="9435" width="3.28515625" style="29" customWidth="1"/>
    <col min="9436" max="9436" width="0" style="29" hidden="1" customWidth="1"/>
    <col min="9437" max="9437" width="14.85546875" style="29" bestFit="1" customWidth="1"/>
    <col min="9438" max="9438" width="11.5703125" style="29" bestFit="1" customWidth="1"/>
    <col min="9439" max="9439" width="11.42578125" style="29"/>
    <col min="9440" max="9440" width="17.7109375" style="29" bestFit="1" customWidth="1"/>
    <col min="9441" max="9684" width="11.42578125" style="29"/>
    <col min="9685" max="9685" width="48.28515625" style="29" customWidth="1"/>
    <col min="9686" max="9687" width="11.5703125" style="29" customWidth="1"/>
    <col min="9688" max="9688" width="15.7109375" style="29" customWidth="1"/>
    <col min="9689" max="9689" width="14.42578125" style="29" customWidth="1"/>
    <col min="9690" max="9690" width="0" style="29" hidden="1" customWidth="1"/>
    <col min="9691" max="9691" width="3.28515625" style="29" customWidth="1"/>
    <col min="9692" max="9692" width="0" style="29" hidden="1" customWidth="1"/>
    <col min="9693" max="9693" width="14.85546875" style="29" bestFit="1" customWidth="1"/>
    <col min="9694" max="9694" width="11.5703125" style="29" bestFit="1" customWidth="1"/>
    <col min="9695" max="9695" width="11.42578125" style="29"/>
    <col min="9696" max="9696" width="17.7109375" style="29" bestFit="1" customWidth="1"/>
    <col min="9697" max="9940" width="11.42578125" style="29"/>
    <col min="9941" max="9941" width="48.28515625" style="29" customWidth="1"/>
    <col min="9942" max="9943" width="11.5703125" style="29" customWidth="1"/>
    <col min="9944" max="9944" width="15.7109375" style="29" customWidth="1"/>
    <col min="9945" max="9945" width="14.42578125" style="29" customWidth="1"/>
    <col min="9946" max="9946" width="0" style="29" hidden="1" customWidth="1"/>
    <col min="9947" max="9947" width="3.28515625" style="29" customWidth="1"/>
    <col min="9948" max="9948" width="0" style="29" hidden="1" customWidth="1"/>
    <col min="9949" max="9949" width="14.85546875" style="29" bestFit="1" customWidth="1"/>
    <col min="9950" max="9950" width="11.5703125" style="29" bestFit="1" customWidth="1"/>
    <col min="9951" max="9951" width="11.42578125" style="29"/>
    <col min="9952" max="9952" width="17.7109375" style="29" bestFit="1" customWidth="1"/>
    <col min="9953" max="10196" width="11.42578125" style="29"/>
    <col min="10197" max="10197" width="48.28515625" style="29" customWidth="1"/>
    <col min="10198" max="10199" width="11.5703125" style="29" customWidth="1"/>
    <col min="10200" max="10200" width="15.7109375" style="29" customWidth="1"/>
    <col min="10201" max="10201" width="14.42578125" style="29" customWidth="1"/>
    <col min="10202" max="10202" width="0" style="29" hidden="1" customWidth="1"/>
    <col min="10203" max="10203" width="3.28515625" style="29" customWidth="1"/>
    <col min="10204" max="10204" width="0" style="29" hidden="1" customWidth="1"/>
    <col min="10205" max="10205" width="14.85546875" style="29" bestFit="1" customWidth="1"/>
    <col min="10206" max="10206" width="11.5703125" style="29" bestFit="1" customWidth="1"/>
    <col min="10207" max="10207" width="11.42578125" style="29"/>
    <col min="10208" max="10208" width="17.7109375" style="29" bestFit="1" customWidth="1"/>
    <col min="10209" max="10452" width="11.42578125" style="29"/>
    <col min="10453" max="10453" width="48.28515625" style="29" customWidth="1"/>
    <col min="10454" max="10455" width="11.5703125" style="29" customWidth="1"/>
    <col min="10456" max="10456" width="15.7109375" style="29" customWidth="1"/>
    <col min="10457" max="10457" width="14.42578125" style="29" customWidth="1"/>
    <col min="10458" max="10458" width="0" style="29" hidden="1" customWidth="1"/>
    <col min="10459" max="10459" width="3.28515625" style="29" customWidth="1"/>
    <col min="10460" max="10460" width="0" style="29" hidden="1" customWidth="1"/>
    <col min="10461" max="10461" width="14.85546875" style="29" bestFit="1" customWidth="1"/>
    <col min="10462" max="10462" width="11.5703125" style="29" bestFit="1" customWidth="1"/>
    <col min="10463" max="10463" width="11.42578125" style="29"/>
    <col min="10464" max="10464" width="17.7109375" style="29" bestFit="1" customWidth="1"/>
    <col min="10465" max="10708" width="11.42578125" style="29"/>
    <col min="10709" max="10709" width="48.28515625" style="29" customWidth="1"/>
    <col min="10710" max="10711" width="11.5703125" style="29" customWidth="1"/>
    <col min="10712" max="10712" width="15.7109375" style="29" customWidth="1"/>
    <col min="10713" max="10713" width="14.42578125" style="29" customWidth="1"/>
    <col min="10714" max="10714" width="0" style="29" hidden="1" customWidth="1"/>
    <col min="10715" max="10715" width="3.28515625" style="29" customWidth="1"/>
    <col min="10716" max="10716" width="0" style="29" hidden="1" customWidth="1"/>
    <col min="10717" max="10717" width="14.85546875" style="29" bestFit="1" customWidth="1"/>
    <col min="10718" max="10718" width="11.5703125" style="29" bestFit="1" customWidth="1"/>
    <col min="10719" max="10719" width="11.42578125" style="29"/>
    <col min="10720" max="10720" width="17.7109375" style="29" bestFit="1" customWidth="1"/>
    <col min="10721" max="10964" width="11.42578125" style="29"/>
    <col min="10965" max="10965" width="48.28515625" style="29" customWidth="1"/>
    <col min="10966" max="10967" width="11.5703125" style="29" customWidth="1"/>
    <col min="10968" max="10968" width="15.7109375" style="29" customWidth="1"/>
    <col min="10969" max="10969" width="14.42578125" style="29" customWidth="1"/>
    <col min="10970" max="10970" width="0" style="29" hidden="1" customWidth="1"/>
    <col min="10971" max="10971" width="3.28515625" style="29" customWidth="1"/>
    <col min="10972" max="10972" width="0" style="29" hidden="1" customWidth="1"/>
    <col min="10973" max="10973" width="14.85546875" style="29" bestFit="1" customWidth="1"/>
    <col min="10974" max="10974" width="11.5703125" style="29" bestFit="1" customWidth="1"/>
    <col min="10975" max="10975" width="11.42578125" style="29"/>
    <col min="10976" max="10976" width="17.7109375" style="29" bestFit="1" customWidth="1"/>
    <col min="10977" max="11220" width="11.42578125" style="29"/>
    <col min="11221" max="11221" width="48.28515625" style="29" customWidth="1"/>
    <col min="11222" max="11223" width="11.5703125" style="29" customWidth="1"/>
    <col min="11224" max="11224" width="15.7109375" style="29" customWidth="1"/>
    <col min="11225" max="11225" width="14.42578125" style="29" customWidth="1"/>
    <col min="11226" max="11226" width="0" style="29" hidden="1" customWidth="1"/>
    <col min="11227" max="11227" width="3.28515625" style="29" customWidth="1"/>
    <col min="11228" max="11228" width="0" style="29" hidden="1" customWidth="1"/>
    <col min="11229" max="11229" width="14.85546875" style="29" bestFit="1" customWidth="1"/>
    <col min="11230" max="11230" width="11.5703125" style="29" bestFit="1" customWidth="1"/>
    <col min="11231" max="11231" width="11.42578125" style="29"/>
    <col min="11232" max="11232" width="17.7109375" style="29" bestFit="1" customWidth="1"/>
    <col min="11233" max="11476" width="11.42578125" style="29"/>
    <col min="11477" max="11477" width="48.28515625" style="29" customWidth="1"/>
    <col min="11478" max="11479" width="11.5703125" style="29" customWidth="1"/>
    <col min="11480" max="11480" width="15.7109375" style="29" customWidth="1"/>
    <col min="11481" max="11481" width="14.42578125" style="29" customWidth="1"/>
    <col min="11482" max="11482" width="0" style="29" hidden="1" customWidth="1"/>
    <col min="11483" max="11483" width="3.28515625" style="29" customWidth="1"/>
    <col min="11484" max="11484" width="0" style="29" hidden="1" customWidth="1"/>
    <col min="11485" max="11485" width="14.85546875" style="29" bestFit="1" customWidth="1"/>
    <col min="11486" max="11486" width="11.5703125" style="29" bestFit="1" customWidth="1"/>
    <col min="11487" max="11487" width="11.42578125" style="29"/>
    <col min="11488" max="11488" width="17.7109375" style="29" bestFit="1" customWidth="1"/>
    <col min="11489" max="11732" width="11.42578125" style="29"/>
    <col min="11733" max="11733" width="48.28515625" style="29" customWidth="1"/>
    <col min="11734" max="11735" width="11.5703125" style="29" customWidth="1"/>
    <col min="11736" max="11736" width="15.7109375" style="29" customWidth="1"/>
    <col min="11737" max="11737" width="14.42578125" style="29" customWidth="1"/>
    <col min="11738" max="11738" width="0" style="29" hidden="1" customWidth="1"/>
    <col min="11739" max="11739" width="3.28515625" style="29" customWidth="1"/>
    <col min="11740" max="11740" width="0" style="29" hidden="1" customWidth="1"/>
    <col min="11741" max="11741" width="14.85546875" style="29" bestFit="1" customWidth="1"/>
    <col min="11742" max="11742" width="11.5703125" style="29" bestFit="1" customWidth="1"/>
    <col min="11743" max="11743" width="11.42578125" style="29"/>
    <col min="11744" max="11744" width="17.7109375" style="29" bestFit="1" customWidth="1"/>
    <col min="11745" max="11988" width="11.42578125" style="29"/>
    <col min="11989" max="11989" width="48.28515625" style="29" customWidth="1"/>
    <col min="11990" max="11991" width="11.5703125" style="29" customWidth="1"/>
    <col min="11992" max="11992" width="15.7109375" style="29" customWidth="1"/>
    <col min="11993" max="11993" width="14.42578125" style="29" customWidth="1"/>
    <col min="11994" max="11994" width="0" style="29" hidden="1" customWidth="1"/>
    <col min="11995" max="11995" width="3.28515625" style="29" customWidth="1"/>
    <col min="11996" max="11996" width="0" style="29" hidden="1" customWidth="1"/>
    <col min="11997" max="11997" width="14.85546875" style="29" bestFit="1" customWidth="1"/>
    <col min="11998" max="11998" width="11.5703125" style="29" bestFit="1" customWidth="1"/>
    <col min="11999" max="11999" width="11.42578125" style="29"/>
    <col min="12000" max="12000" width="17.7109375" style="29" bestFit="1" customWidth="1"/>
    <col min="12001" max="12244" width="11.42578125" style="29"/>
    <col min="12245" max="12245" width="48.28515625" style="29" customWidth="1"/>
    <col min="12246" max="12247" width="11.5703125" style="29" customWidth="1"/>
    <col min="12248" max="12248" width="15.7109375" style="29" customWidth="1"/>
    <col min="12249" max="12249" width="14.42578125" style="29" customWidth="1"/>
    <col min="12250" max="12250" width="0" style="29" hidden="1" customWidth="1"/>
    <col min="12251" max="12251" width="3.28515625" style="29" customWidth="1"/>
    <col min="12252" max="12252" width="0" style="29" hidden="1" customWidth="1"/>
    <col min="12253" max="12253" width="14.85546875" style="29" bestFit="1" customWidth="1"/>
    <col min="12254" max="12254" width="11.5703125" style="29" bestFit="1" customWidth="1"/>
    <col min="12255" max="12255" width="11.42578125" style="29"/>
    <col min="12256" max="12256" width="17.7109375" style="29" bestFit="1" customWidth="1"/>
    <col min="12257" max="12500" width="11.42578125" style="29"/>
    <col min="12501" max="12501" width="48.28515625" style="29" customWidth="1"/>
    <col min="12502" max="12503" width="11.5703125" style="29" customWidth="1"/>
    <col min="12504" max="12504" width="15.7109375" style="29" customWidth="1"/>
    <col min="12505" max="12505" width="14.42578125" style="29" customWidth="1"/>
    <col min="12506" max="12506" width="0" style="29" hidden="1" customWidth="1"/>
    <col min="12507" max="12507" width="3.28515625" style="29" customWidth="1"/>
    <col min="12508" max="12508" width="0" style="29" hidden="1" customWidth="1"/>
    <col min="12509" max="12509" width="14.85546875" style="29" bestFit="1" customWidth="1"/>
    <col min="12510" max="12510" width="11.5703125" style="29" bestFit="1" customWidth="1"/>
    <col min="12511" max="12511" width="11.42578125" style="29"/>
    <col min="12512" max="12512" width="17.7109375" style="29" bestFit="1" customWidth="1"/>
    <col min="12513" max="12756" width="11.42578125" style="29"/>
    <col min="12757" max="12757" width="48.28515625" style="29" customWidth="1"/>
    <col min="12758" max="12759" width="11.5703125" style="29" customWidth="1"/>
    <col min="12760" max="12760" width="15.7109375" style="29" customWidth="1"/>
    <col min="12761" max="12761" width="14.42578125" style="29" customWidth="1"/>
    <col min="12762" max="12762" width="0" style="29" hidden="1" customWidth="1"/>
    <col min="12763" max="12763" width="3.28515625" style="29" customWidth="1"/>
    <col min="12764" max="12764" width="0" style="29" hidden="1" customWidth="1"/>
    <col min="12765" max="12765" width="14.85546875" style="29" bestFit="1" customWidth="1"/>
    <col min="12766" max="12766" width="11.5703125" style="29" bestFit="1" customWidth="1"/>
    <col min="12767" max="12767" width="11.42578125" style="29"/>
    <col min="12768" max="12768" width="17.7109375" style="29" bestFit="1" customWidth="1"/>
    <col min="12769" max="13012" width="11.42578125" style="29"/>
    <col min="13013" max="13013" width="48.28515625" style="29" customWidth="1"/>
    <col min="13014" max="13015" width="11.5703125" style="29" customWidth="1"/>
    <col min="13016" max="13016" width="15.7109375" style="29" customWidth="1"/>
    <col min="13017" max="13017" width="14.42578125" style="29" customWidth="1"/>
    <col min="13018" max="13018" width="0" style="29" hidden="1" customWidth="1"/>
    <col min="13019" max="13019" width="3.28515625" style="29" customWidth="1"/>
    <col min="13020" max="13020" width="0" style="29" hidden="1" customWidth="1"/>
    <col min="13021" max="13021" width="14.85546875" style="29" bestFit="1" customWidth="1"/>
    <col min="13022" max="13022" width="11.5703125" style="29" bestFit="1" customWidth="1"/>
    <col min="13023" max="13023" width="11.42578125" style="29"/>
    <col min="13024" max="13024" width="17.7109375" style="29" bestFit="1" customWidth="1"/>
    <col min="13025" max="13268" width="11.42578125" style="29"/>
    <col min="13269" max="13269" width="48.28515625" style="29" customWidth="1"/>
    <col min="13270" max="13271" width="11.5703125" style="29" customWidth="1"/>
    <col min="13272" max="13272" width="15.7109375" style="29" customWidth="1"/>
    <col min="13273" max="13273" width="14.42578125" style="29" customWidth="1"/>
    <col min="13274" max="13274" width="0" style="29" hidden="1" customWidth="1"/>
    <col min="13275" max="13275" width="3.28515625" style="29" customWidth="1"/>
    <col min="13276" max="13276" width="0" style="29" hidden="1" customWidth="1"/>
    <col min="13277" max="13277" width="14.85546875" style="29" bestFit="1" customWidth="1"/>
    <col min="13278" max="13278" width="11.5703125" style="29" bestFit="1" customWidth="1"/>
    <col min="13279" max="13279" width="11.42578125" style="29"/>
    <col min="13280" max="13280" width="17.7109375" style="29" bestFit="1" customWidth="1"/>
    <col min="13281" max="13524" width="11.42578125" style="29"/>
    <col min="13525" max="13525" width="48.28515625" style="29" customWidth="1"/>
    <col min="13526" max="13527" width="11.5703125" style="29" customWidth="1"/>
    <col min="13528" max="13528" width="15.7109375" style="29" customWidth="1"/>
    <col min="13529" max="13529" width="14.42578125" style="29" customWidth="1"/>
    <col min="13530" max="13530" width="0" style="29" hidden="1" customWidth="1"/>
    <col min="13531" max="13531" width="3.28515625" style="29" customWidth="1"/>
    <col min="13532" max="13532" width="0" style="29" hidden="1" customWidth="1"/>
    <col min="13533" max="13533" width="14.85546875" style="29" bestFit="1" customWidth="1"/>
    <col min="13534" max="13534" width="11.5703125" style="29" bestFit="1" customWidth="1"/>
    <col min="13535" max="13535" width="11.42578125" style="29"/>
    <col min="13536" max="13536" width="17.7109375" style="29" bestFit="1" customWidth="1"/>
    <col min="13537" max="13780" width="11.42578125" style="29"/>
    <col min="13781" max="13781" width="48.28515625" style="29" customWidth="1"/>
    <col min="13782" max="13783" width="11.5703125" style="29" customWidth="1"/>
    <col min="13784" max="13784" width="15.7109375" style="29" customWidth="1"/>
    <col min="13785" max="13785" width="14.42578125" style="29" customWidth="1"/>
    <col min="13786" max="13786" width="0" style="29" hidden="1" customWidth="1"/>
    <col min="13787" max="13787" width="3.28515625" style="29" customWidth="1"/>
    <col min="13788" max="13788" width="0" style="29" hidden="1" customWidth="1"/>
    <col min="13789" max="13789" width="14.85546875" style="29" bestFit="1" customWidth="1"/>
    <col min="13790" max="13790" width="11.5703125" style="29" bestFit="1" customWidth="1"/>
    <col min="13791" max="13791" width="11.42578125" style="29"/>
    <col min="13792" max="13792" width="17.7109375" style="29" bestFit="1" customWidth="1"/>
    <col min="13793" max="14036" width="11.42578125" style="29"/>
    <col min="14037" max="14037" width="48.28515625" style="29" customWidth="1"/>
    <col min="14038" max="14039" width="11.5703125" style="29" customWidth="1"/>
    <col min="14040" max="14040" width="15.7109375" style="29" customWidth="1"/>
    <col min="14041" max="14041" width="14.42578125" style="29" customWidth="1"/>
    <col min="14042" max="14042" width="0" style="29" hidden="1" customWidth="1"/>
    <col min="14043" max="14043" width="3.28515625" style="29" customWidth="1"/>
    <col min="14044" max="14044" width="0" style="29" hidden="1" customWidth="1"/>
    <col min="14045" max="14045" width="14.85546875" style="29" bestFit="1" customWidth="1"/>
    <col min="14046" max="14046" width="11.5703125" style="29" bestFit="1" customWidth="1"/>
    <col min="14047" max="14047" width="11.42578125" style="29"/>
    <col min="14048" max="14048" width="17.7109375" style="29" bestFit="1" customWidth="1"/>
    <col min="14049" max="14292" width="11.42578125" style="29"/>
    <col min="14293" max="14293" width="48.28515625" style="29" customWidth="1"/>
    <col min="14294" max="14295" width="11.5703125" style="29" customWidth="1"/>
    <col min="14296" max="14296" width="15.7109375" style="29" customWidth="1"/>
    <col min="14297" max="14297" width="14.42578125" style="29" customWidth="1"/>
    <col min="14298" max="14298" width="0" style="29" hidden="1" customWidth="1"/>
    <col min="14299" max="14299" width="3.28515625" style="29" customWidth="1"/>
    <col min="14300" max="14300" width="0" style="29" hidden="1" customWidth="1"/>
    <col min="14301" max="14301" width="14.85546875" style="29" bestFit="1" customWidth="1"/>
    <col min="14302" max="14302" width="11.5703125" style="29" bestFit="1" customWidth="1"/>
    <col min="14303" max="14303" width="11.42578125" style="29"/>
    <col min="14304" max="14304" width="17.7109375" style="29" bestFit="1" customWidth="1"/>
    <col min="14305" max="14548" width="11.42578125" style="29"/>
    <col min="14549" max="14549" width="48.28515625" style="29" customWidth="1"/>
    <col min="14550" max="14551" width="11.5703125" style="29" customWidth="1"/>
    <col min="14552" max="14552" width="15.7109375" style="29" customWidth="1"/>
    <col min="14553" max="14553" width="14.42578125" style="29" customWidth="1"/>
    <col min="14554" max="14554" width="0" style="29" hidden="1" customWidth="1"/>
    <col min="14555" max="14555" width="3.28515625" style="29" customWidth="1"/>
    <col min="14556" max="14556" width="0" style="29" hidden="1" customWidth="1"/>
    <col min="14557" max="14557" width="14.85546875" style="29" bestFit="1" customWidth="1"/>
    <col min="14558" max="14558" width="11.5703125" style="29" bestFit="1" customWidth="1"/>
    <col min="14559" max="14559" width="11.42578125" style="29"/>
    <col min="14560" max="14560" width="17.7109375" style="29" bestFit="1" customWidth="1"/>
    <col min="14561" max="14804" width="11.42578125" style="29"/>
    <col min="14805" max="14805" width="48.28515625" style="29" customWidth="1"/>
    <col min="14806" max="14807" width="11.5703125" style="29" customWidth="1"/>
    <col min="14808" max="14808" width="15.7109375" style="29" customWidth="1"/>
    <col min="14809" max="14809" width="14.42578125" style="29" customWidth="1"/>
    <col min="14810" max="14810" width="0" style="29" hidden="1" customWidth="1"/>
    <col min="14811" max="14811" width="3.28515625" style="29" customWidth="1"/>
    <col min="14812" max="14812" width="0" style="29" hidden="1" customWidth="1"/>
    <col min="14813" max="14813" width="14.85546875" style="29" bestFit="1" customWidth="1"/>
    <col min="14814" max="14814" width="11.5703125" style="29" bestFit="1" customWidth="1"/>
    <col min="14815" max="14815" width="11.42578125" style="29"/>
    <col min="14816" max="14816" width="17.7109375" style="29" bestFit="1" customWidth="1"/>
    <col min="14817" max="15060" width="11.42578125" style="29"/>
    <col min="15061" max="15061" width="48.28515625" style="29" customWidth="1"/>
    <col min="15062" max="15063" width="11.5703125" style="29" customWidth="1"/>
    <col min="15064" max="15064" width="15.7109375" style="29" customWidth="1"/>
    <col min="15065" max="15065" width="14.42578125" style="29" customWidth="1"/>
    <col min="15066" max="15066" width="0" style="29" hidden="1" customWidth="1"/>
    <col min="15067" max="15067" width="3.28515625" style="29" customWidth="1"/>
    <col min="15068" max="15068" width="0" style="29" hidden="1" customWidth="1"/>
    <col min="15069" max="15069" width="14.85546875" style="29" bestFit="1" customWidth="1"/>
    <col min="15070" max="15070" width="11.5703125" style="29" bestFit="1" customWidth="1"/>
    <col min="15071" max="15071" width="11.42578125" style="29"/>
    <col min="15072" max="15072" width="17.7109375" style="29" bestFit="1" customWidth="1"/>
    <col min="15073" max="15316" width="11.42578125" style="29"/>
    <col min="15317" max="15317" width="48.28515625" style="29" customWidth="1"/>
    <col min="15318" max="15319" width="11.5703125" style="29" customWidth="1"/>
    <col min="15320" max="15320" width="15.7109375" style="29" customWidth="1"/>
    <col min="15321" max="15321" width="14.42578125" style="29" customWidth="1"/>
    <col min="15322" max="15322" width="0" style="29" hidden="1" customWidth="1"/>
    <col min="15323" max="15323" width="3.28515625" style="29" customWidth="1"/>
    <col min="15324" max="15324" width="0" style="29" hidden="1" customWidth="1"/>
    <col min="15325" max="15325" width="14.85546875" style="29" bestFit="1" customWidth="1"/>
    <col min="15326" max="15326" width="11.5703125" style="29" bestFit="1" customWidth="1"/>
    <col min="15327" max="15327" width="11.42578125" style="29"/>
    <col min="15328" max="15328" width="17.7109375" style="29" bestFit="1" customWidth="1"/>
    <col min="15329" max="15572" width="11.42578125" style="29"/>
    <col min="15573" max="15573" width="48.28515625" style="29" customWidth="1"/>
    <col min="15574" max="15575" width="11.5703125" style="29" customWidth="1"/>
    <col min="15576" max="15576" width="15.7109375" style="29" customWidth="1"/>
    <col min="15577" max="15577" width="14.42578125" style="29" customWidth="1"/>
    <col min="15578" max="15578" width="0" style="29" hidden="1" customWidth="1"/>
    <col min="15579" max="15579" width="3.28515625" style="29" customWidth="1"/>
    <col min="15580" max="15580" width="0" style="29" hidden="1" customWidth="1"/>
    <col min="15581" max="15581" width="14.85546875" style="29" bestFit="1" customWidth="1"/>
    <col min="15582" max="15582" width="11.5703125" style="29" bestFit="1" customWidth="1"/>
    <col min="15583" max="15583" width="11.42578125" style="29"/>
    <col min="15584" max="15584" width="17.7109375" style="29" bestFit="1" customWidth="1"/>
    <col min="15585" max="15828" width="11.42578125" style="29"/>
    <col min="15829" max="15829" width="48.28515625" style="29" customWidth="1"/>
    <col min="15830" max="15831" width="11.5703125" style="29" customWidth="1"/>
    <col min="15832" max="15832" width="15.7109375" style="29" customWidth="1"/>
    <col min="15833" max="15833" width="14.42578125" style="29" customWidth="1"/>
    <col min="15834" max="15834" width="0" style="29" hidden="1" customWidth="1"/>
    <col min="15835" max="15835" width="3.28515625" style="29" customWidth="1"/>
    <col min="15836" max="15836" width="0" style="29" hidden="1" customWidth="1"/>
    <col min="15837" max="15837" width="14.85546875" style="29" bestFit="1" customWidth="1"/>
    <col min="15838" max="15838" width="11.5703125" style="29" bestFit="1" customWidth="1"/>
    <col min="15839" max="15839" width="11.42578125" style="29"/>
    <col min="15840" max="15840" width="17.7109375" style="29" bestFit="1" customWidth="1"/>
    <col min="15841" max="16084" width="11.42578125" style="29"/>
    <col min="16085" max="16085" width="48.28515625" style="29" customWidth="1"/>
    <col min="16086" max="16087" width="11.5703125" style="29" customWidth="1"/>
    <col min="16088" max="16088" width="15.7109375" style="29" customWidth="1"/>
    <col min="16089" max="16089" width="14.42578125" style="29" customWidth="1"/>
    <col min="16090" max="16090" width="0" style="29" hidden="1" customWidth="1"/>
    <col min="16091" max="16091" width="3.28515625" style="29" customWidth="1"/>
    <col min="16092" max="16092" width="0" style="29" hidden="1" customWidth="1"/>
    <col min="16093" max="16093" width="14.85546875" style="29" bestFit="1" customWidth="1"/>
    <col min="16094" max="16094" width="11.5703125" style="29" bestFit="1" customWidth="1"/>
    <col min="16095" max="16095" width="11.42578125" style="29"/>
    <col min="16096" max="16096" width="17.7109375" style="29" bestFit="1" customWidth="1"/>
    <col min="16097" max="16384" width="11.42578125" style="29"/>
  </cols>
  <sheetData>
    <row r="1" spans="1:6" hidden="1" x14ac:dyDescent="0.2">
      <c r="A1" s="110"/>
      <c r="B1" s="110"/>
      <c r="C1" s="110"/>
      <c r="D1" s="110"/>
      <c r="E1" s="110"/>
    </row>
    <row r="2" spans="1:6" x14ac:dyDescent="0.2">
      <c r="A2" s="110"/>
      <c r="B2" s="110"/>
      <c r="C2" s="110"/>
      <c r="D2" s="110"/>
      <c r="E2" s="110"/>
    </row>
    <row r="3" spans="1:6" x14ac:dyDescent="0.2">
      <c r="A3" s="110"/>
      <c r="B3" s="110"/>
      <c r="C3" s="110"/>
      <c r="D3" s="110"/>
      <c r="E3" s="110"/>
    </row>
    <row r="4" spans="1:6" x14ac:dyDescent="0.2">
      <c r="A4" s="110"/>
      <c r="B4" s="110"/>
      <c r="C4" s="110"/>
      <c r="D4" s="110"/>
      <c r="E4" s="110"/>
    </row>
    <row r="5" spans="1:6" x14ac:dyDescent="0.2">
      <c r="A5" s="110"/>
      <c r="B5" s="110"/>
      <c r="C5" s="110"/>
      <c r="D5" s="110"/>
      <c r="E5" s="110"/>
    </row>
    <row r="6" spans="1:6" x14ac:dyDescent="0.2">
      <c r="A6" s="110"/>
      <c r="B6" s="110"/>
      <c r="C6" s="110"/>
      <c r="D6" s="110"/>
      <c r="E6" s="110"/>
    </row>
    <row r="7" spans="1:6" x14ac:dyDescent="0.2">
      <c r="A7" s="110"/>
      <c r="B7" s="110"/>
      <c r="C7" s="110"/>
      <c r="D7" s="110"/>
      <c r="E7" s="110"/>
    </row>
    <row r="8" spans="1:6" x14ac:dyDescent="0.2">
      <c r="A8" s="463" t="s">
        <v>0</v>
      </c>
      <c r="B8" s="463"/>
      <c r="C8" s="463"/>
      <c r="D8" s="463"/>
      <c r="E8" s="463"/>
      <c r="F8" s="463"/>
    </row>
    <row r="9" spans="1:6" x14ac:dyDescent="0.2">
      <c r="A9" s="463" t="s">
        <v>1</v>
      </c>
      <c r="B9" s="463"/>
      <c r="C9" s="463"/>
      <c r="D9" s="463"/>
      <c r="E9" s="463"/>
      <c r="F9" s="463"/>
    </row>
    <row r="10" spans="1:6" x14ac:dyDescent="0.2">
      <c r="A10" s="106"/>
      <c r="B10" s="106"/>
      <c r="C10" s="106"/>
      <c r="D10" s="110"/>
      <c r="E10" s="110"/>
    </row>
    <row r="11" spans="1:6" x14ac:dyDescent="0.2">
      <c r="A11" s="463" t="s">
        <v>2</v>
      </c>
      <c r="B11" s="463"/>
      <c r="C11" s="463"/>
      <c r="D11" s="463"/>
      <c r="E11" s="463"/>
      <c r="F11" s="463"/>
    </row>
    <row r="12" spans="1:6" x14ac:dyDescent="0.2">
      <c r="A12" s="106"/>
      <c r="B12" s="106"/>
      <c r="C12" s="110"/>
      <c r="D12" s="110"/>
      <c r="E12" s="110"/>
    </row>
    <row r="13" spans="1:6" ht="14.25" customHeight="1" x14ac:dyDescent="0.25">
      <c r="A13" s="464" t="s">
        <v>1672</v>
      </c>
      <c r="B13" s="464"/>
      <c r="C13" s="464"/>
      <c r="D13" s="464"/>
      <c r="E13" s="464"/>
      <c r="F13" s="464"/>
    </row>
    <row r="14" spans="1:6" ht="14.25" customHeight="1" x14ac:dyDescent="0.2">
      <c r="A14" s="465" t="str">
        <f>ATIVO!A14</f>
        <v>31 DE DEZEMBRO DE 2022 E 31 DE DEZEMBRO DE 2021</v>
      </c>
      <c r="B14" s="465"/>
      <c r="C14" s="465"/>
      <c r="D14" s="465"/>
      <c r="E14" s="465"/>
      <c r="F14" s="465"/>
    </row>
    <row r="15" spans="1:6" ht="15" x14ac:dyDescent="0.25">
      <c r="A15" s="466" t="s">
        <v>1673</v>
      </c>
      <c r="B15" s="466"/>
      <c r="C15" s="466"/>
      <c r="D15" s="466"/>
      <c r="E15" s="466"/>
      <c r="F15" s="466"/>
    </row>
    <row r="16" spans="1:6" x14ac:dyDescent="0.2">
      <c r="A16" s="106"/>
      <c r="B16" s="106"/>
      <c r="C16" s="106"/>
      <c r="D16" s="110"/>
      <c r="E16" s="110"/>
    </row>
    <row r="17" spans="1:9" ht="15" x14ac:dyDescent="0.25">
      <c r="A17" s="467" t="s">
        <v>1674</v>
      </c>
      <c r="B17" s="467"/>
      <c r="C17" s="467"/>
      <c r="D17" s="467"/>
      <c r="E17" s="467"/>
      <c r="F17" s="467"/>
    </row>
    <row r="18" spans="1:9" hidden="1" x14ac:dyDescent="0.2">
      <c r="A18" s="110"/>
      <c r="B18" s="110"/>
      <c r="C18" s="122"/>
      <c r="D18" s="110"/>
      <c r="E18" s="110"/>
    </row>
    <row r="19" spans="1:9" hidden="1" x14ac:dyDescent="0.2">
      <c r="A19" s="110"/>
      <c r="B19" s="110"/>
      <c r="C19" s="110"/>
      <c r="D19" s="110"/>
      <c r="E19" s="110"/>
    </row>
    <row r="20" spans="1:9" hidden="1" x14ac:dyDescent="0.2">
      <c r="A20" s="110"/>
      <c r="B20" s="110"/>
      <c r="C20" s="110"/>
      <c r="D20" s="110"/>
      <c r="E20" s="110"/>
    </row>
    <row r="21" spans="1:9" hidden="1" x14ac:dyDescent="0.2">
      <c r="A21" s="110"/>
      <c r="B21" s="110"/>
      <c r="C21" s="110"/>
      <c r="D21" s="110"/>
      <c r="E21" s="110"/>
    </row>
    <row r="22" spans="1:9" ht="15" x14ac:dyDescent="0.25">
      <c r="A22" s="110"/>
      <c r="B22" s="110"/>
      <c r="C22" s="123"/>
      <c r="D22" s="108">
        <f>ATIVO!E20</f>
        <v>44926</v>
      </c>
      <c r="E22" s="108"/>
      <c r="F22" s="108">
        <f>ATIVO!G20</f>
        <v>44561</v>
      </c>
    </row>
    <row r="23" spans="1:9" hidden="1" x14ac:dyDescent="0.2">
      <c r="A23" s="110"/>
      <c r="B23" s="110"/>
      <c r="C23" s="124"/>
      <c r="D23" s="106"/>
      <c r="E23" s="106"/>
      <c r="F23" s="442"/>
    </row>
    <row r="24" spans="1:9" x14ac:dyDescent="0.2">
      <c r="A24" s="110"/>
      <c r="B24" s="110"/>
      <c r="C24" s="110"/>
      <c r="D24" s="109"/>
      <c r="E24" s="109"/>
      <c r="F24" s="109"/>
    </row>
    <row r="25" spans="1:9" hidden="1" x14ac:dyDescent="0.2">
      <c r="A25" s="110"/>
      <c r="B25" s="110"/>
      <c r="C25" s="110"/>
      <c r="D25" s="107"/>
      <c r="E25" s="107"/>
      <c r="F25" s="107"/>
    </row>
    <row r="26" spans="1:9" ht="15" x14ac:dyDescent="0.25">
      <c r="A26" s="125" t="s">
        <v>461</v>
      </c>
      <c r="B26" s="125"/>
      <c r="C26" s="126"/>
      <c r="D26" s="421">
        <f>SUM(D28:D41)</f>
        <v>15232</v>
      </c>
      <c r="E26" s="422"/>
      <c r="F26" s="422">
        <f>SUM(F28:F41)</f>
        <v>15198.317120000002</v>
      </c>
      <c r="H26" s="45"/>
      <c r="I26" s="45"/>
    </row>
    <row r="27" spans="1:9" ht="15" x14ac:dyDescent="0.25">
      <c r="A27" s="125"/>
      <c r="B27" s="125"/>
      <c r="C27" s="126"/>
      <c r="D27" s="423"/>
      <c r="E27" s="424"/>
      <c r="F27" s="424"/>
    </row>
    <row r="28" spans="1:9" ht="15" x14ac:dyDescent="0.2">
      <c r="A28" s="110" t="s">
        <v>1675</v>
      </c>
      <c r="B28" s="443" t="s">
        <v>1676</v>
      </c>
      <c r="C28" s="127" t="s">
        <v>1435</v>
      </c>
      <c r="D28" s="423">
        <v>398</v>
      </c>
      <c r="E28" s="424"/>
      <c r="F28" s="424">
        <f>[1]Página1!$E$288/1000</f>
        <v>1631.7656499999998</v>
      </c>
      <c r="G28" s="110"/>
      <c r="I28" s="45"/>
    </row>
    <row r="29" spans="1:9" ht="15" x14ac:dyDescent="0.2">
      <c r="A29" s="110" t="s">
        <v>1677</v>
      </c>
      <c r="B29" s="443" t="s">
        <v>1678</v>
      </c>
      <c r="C29" s="107" t="e">
        <f>#REF!/1000</f>
        <v>#REF!</v>
      </c>
      <c r="D29" s="423">
        <v>2680</v>
      </c>
      <c r="E29" s="424"/>
      <c r="F29" s="424">
        <f>[1]Página1!$E$354/1000</f>
        <v>2780.8264700000004</v>
      </c>
      <c r="G29" s="110"/>
    </row>
    <row r="30" spans="1:9" ht="15" x14ac:dyDescent="0.2">
      <c r="A30" s="110" t="s">
        <v>1679</v>
      </c>
      <c r="B30" s="444" t="s">
        <v>1680</v>
      </c>
      <c r="C30" s="107" t="e">
        <f>#REF!/1000</f>
        <v>#REF!</v>
      </c>
      <c r="D30" s="423">
        <v>1857</v>
      </c>
      <c r="E30" s="424"/>
      <c r="F30" s="424">
        <f>([1]Página1!$E$368)/1000-F31-F32-F33-F35</f>
        <v>1396.4486400000001</v>
      </c>
      <c r="G30" s="110"/>
      <c r="H30" s="204"/>
      <c r="I30" s="45"/>
    </row>
    <row r="31" spans="1:9" ht="15" x14ac:dyDescent="0.2">
      <c r="A31" s="110" t="s">
        <v>1788</v>
      </c>
      <c r="B31" s="443" t="s">
        <v>1681</v>
      </c>
      <c r="C31" s="107" t="e">
        <f>#REF!/1000</f>
        <v>#REF!</v>
      </c>
      <c r="D31" s="423">
        <v>630</v>
      </c>
      <c r="E31" s="424"/>
      <c r="F31" s="424">
        <f>[1]Página1!$E$373/1000</f>
        <v>629.81568000000004</v>
      </c>
    </row>
    <row r="32" spans="1:9" ht="15" hidden="1" x14ac:dyDescent="0.2">
      <c r="A32" s="110" t="s">
        <v>1682</v>
      </c>
      <c r="B32" s="444" t="s">
        <v>1683</v>
      </c>
      <c r="C32" s="107" t="e">
        <f>#REF!/1000</f>
        <v>#REF!</v>
      </c>
      <c r="D32" s="423"/>
      <c r="E32" s="424"/>
      <c r="F32" s="424">
        <v>0</v>
      </c>
    </row>
    <row r="33" spans="1:14" ht="15" x14ac:dyDescent="0.2">
      <c r="A33" s="110" t="s">
        <v>1684</v>
      </c>
      <c r="B33" s="444" t="s">
        <v>1683</v>
      </c>
      <c r="C33" s="107" t="e">
        <f>#REF!/1000</f>
        <v>#REF!</v>
      </c>
      <c r="D33" s="423">
        <v>0</v>
      </c>
      <c r="E33" s="424"/>
      <c r="F33" s="424">
        <f>[1]Página1!$E$382/1000</f>
        <v>23.283300000000001</v>
      </c>
    </row>
    <row r="34" spans="1:14" ht="15" hidden="1" customHeight="1" x14ac:dyDescent="0.2">
      <c r="A34" s="110" t="s">
        <v>1686</v>
      </c>
      <c r="B34" s="443" t="s">
        <v>1685</v>
      </c>
      <c r="C34" s="107" t="e">
        <f>#REF!/1000</f>
        <v>#REF!</v>
      </c>
      <c r="D34" s="423"/>
      <c r="E34" s="424"/>
      <c r="F34" s="424"/>
    </row>
    <row r="35" spans="1:14" ht="15" x14ac:dyDescent="0.2">
      <c r="A35" s="110" t="s">
        <v>1706</v>
      </c>
      <c r="B35" s="443" t="s">
        <v>1887</v>
      </c>
      <c r="C35" s="107"/>
      <c r="D35" s="423">
        <v>1682</v>
      </c>
      <c r="E35" s="424"/>
      <c r="F35" s="424">
        <f>[1]Página1!$E$383/1000</f>
        <v>1515.34337</v>
      </c>
      <c r="H35" s="204"/>
    </row>
    <row r="36" spans="1:14" s="46" customFormat="1" ht="15" x14ac:dyDescent="0.2">
      <c r="A36" s="110" t="s">
        <v>1687</v>
      </c>
      <c r="B36" s="443" t="s">
        <v>1880</v>
      </c>
      <c r="C36" s="107" t="e">
        <f>#REF!/1000</f>
        <v>#REF!</v>
      </c>
      <c r="D36" s="423">
        <v>2204</v>
      </c>
      <c r="E36" s="424"/>
      <c r="F36" s="424">
        <f>[1]Página1!$E$639/1000</f>
        <v>2052.65877</v>
      </c>
      <c r="G36" s="29"/>
      <c r="H36" s="29"/>
      <c r="L36" s="225"/>
    </row>
    <row r="37" spans="1:14" ht="15" x14ac:dyDescent="0.2">
      <c r="A37" s="110" t="s">
        <v>1688</v>
      </c>
      <c r="B37" s="443" t="s">
        <v>1689</v>
      </c>
      <c r="C37" s="107" t="e">
        <f>#REF!/1000</f>
        <v>#REF!</v>
      </c>
      <c r="D37" s="423">
        <v>4929</v>
      </c>
      <c r="E37" s="424"/>
      <c r="F37" s="424">
        <f>[1]Página1!$E$399/1000</f>
        <v>4720.8789400000005</v>
      </c>
    </row>
    <row r="38" spans="1:14" ht="15" x14ac:dyDescent="0.25">
      <c r="A38" s="110" t="s">
        <v>1690</v>
      </c>
      <c r="B38" s="443"/>
      <c r="C38" s="107" t="e">
        <f>#REF!/1000</f>
        <v>#REF!</v>
      </c>
      <c r="D38" s="423">
        <v>446</v>
      </c>
      <c r="E38" s="424"/>
      <c r="F38" s="424">
        <f>[1]Página1!$E$385/1000</f>
        <v>386.75984000000005</v>
      </c>
    </row>
    <row r="39" spans="1:14" ht="15" x14ac:dyDescent="0.2">
      <c r="A39" s="110" t="s">
        <v>1691</v>
      </c>
      <c r="B39" s="443" t="s">
        <v>1692</v>
      </c>
      <c r="C39" s="107" t="e">
        <f>#REF!/1000</f>
        <v>#REF!</v>
      </c>
      <c r="D39" s="425">
        <v>14</v>
      </c>
      <c r="E39" s="426"/>
      <c r="F39" s="427">
        <f>-[1]Página1!$E$624/1000</f>
        <v>-188.68082000000001</v>
      </c>
    </row>
    <row r="40" spans="1:14" ht="14.25" customHeight="1" x14ac:dyDescent="0.2">
      <c r="A40" s="110" t="s">
        <v>1693</v>
      </c>
      <c r="B40" s="443" t="s">
        <v>1694</v>
      </c>
      <c r="C40" s="107" t="e">
        <f>#REF!/1000</f>
        <v>#REF!</v>
      </c>
      <c r="D40" s="423">
        <v>352</v>
      </c>
      <c r="E40" s="424"/>
      <c r="F40" s="424">
        <f>[1]Página1!$E$629/1000</f>
        <v>249.21727999999999</v>
      </c>
    </row>
    <row r="41" spans="1:14" ht="14.25" customHeight="1" x14ac:dyDescent="0.2">
      <c r="A41" s="110" t="s">
        <v>1889</v>
      </c>
      <c r="B41" s="443" t="s">
        <v>1899</v>
      </c>
      <c r="C41" s="107"/>
      <c r="D41" s="423">
        <v>40</v>
      </c>
      <c r="E41" s="424"/>
      <c r="F41" s="424">
        <v>0</v>
      </c>
    </row>
    <row r="42" spans="1:14" ht="15" x14ac:dyDescent="0.2">
      <c r="A42" s="110"/>
      <c r="B42" s="443"/>
      <c r="C42" s="107"/>
      <c r="D42" s="424"/>
      <c r="E42" s="424"/>
      <c r="F42" s="424"/>
    </row>
    <row r="43" spans="1:14" ht="15" x14ac:dyDescent="0.25">
      <c r="A43" s="125" t="s">
        <v>1073</v>
      </c>
      <c r="B43" s="445"/>
      <c r="C43" s="126"/>
      <c r="D43" s="422">
        <f>D45</f>
        <v>72945.907999999996</v>
      </c>
      <c r="E43" s="422"/>
      <c r="F43" s="422">
        <f>F45</f>
        <v>101992.76963</v>
      </c>
    </row>
    <row r="44" spans="1:14" ht="15" x14ac:dyDescent="0.25">
      <c r="A44" s="125"/>
      <c r="B44" s="445"/>
      <c r="C44" s="126"/>
      <c r="D44" s="424"/>
      <c r="E44" s="424"/>
      <c r="F44" s="424"/>
    </row>
    <row r="45" spans="1:14" ht="15" x14ac:dyDescent="0.2">
      <c r="A45" s="110" t="s">
        <v>1695</v>
      </c>
      <c r="B45" s="443"/>
      <c r="C45" s="126"/>
      <c r="D45" s="422">
        <f>SUM(D47:D53)</f>
        <v>72945.907999999996</v>
      </c>
      <c r="E45" s="422"/>
      <c r="F45" s="422">
        <f>SUM(F47:F53)</f>
        <v>101992.76963</v>
      </c>
    </row>
    <row r="46" spans="1:14" ht="15" x14ac:dyDescent="0.2">
      <c r="A46" s="110"/>
      <c r="B46" s="443"/>
      <c r="C46" s="127"/>
      <c r="D46" s="424"/>
      <c r="E46" s="424"/>
      <c r="F46" s="424"/>
      <c r="I46" s="45" t="s">
        <v>54</v>
      </c>
    </row>
    <row r="47" spans="1:14" ht="15" x14ac:dyDescent="0.2">
      <c r="A47" s="110" t="s">
        <v>1679</v>
      </c>
      <c r="B47" s="446" t="s">
        <v>1925</v>
      </c>
      <c r="C47" s="127"/>
      <c r="D47" s="424">
        <f>(21558940.56-1611944.27)/1000</f>
        <v>19946.996289999999</v>
      </c>
      <c r="E47" s="424"/>
      <c r="F47" s="424">
        <v>0</v>
      </c>
      <c r="I47" s="110"/>
      <c r="J47" s="110"/>
    </row>
    <row r="48" spans="1:14" ht="15" x14ac:dyDescent="0.2">
      <c r="A48" s="110" t="s">
        <v>1788</v>
      </c>
      <c r="B48" s="443" t="s">
        <v>1681</v>
      </c>
      <c r="C48" s="127" t="s">
        <v>1076</v>
      </c>
      <c r="D48" s="424">
        <f>1611944.27/1000</f>
        <v>1611.94427</v>
      </c>
      <c r="E48" s="424"/>
      <c r="F48" s="424">
        <f>[1]Página1!$E$652/1000</f>
        <v>2095.3855899999999</v>
      </c>
      <c r="I48" s="110"/>
      <c r="J48" s="110"/>
      <c r="K48" s="110"/>
      <c r="L48" s="354"/>
      <c r="M48" s="110"/>
      <c r="N48" s="110"/>
    </row>
    <row r="49" spans="1:12" s="47" customFormat="1" ht="15" x14ac:dyDescent="0.2">
      <c r="A49" s="110" t="s">
        <v>1696</v>
      </c>
      <c r="B49" s="443" t="s">
        <v>1895</v>
      </c>
      <c r="C49" s="128"/>
      <c r="D49" s="424">
        <f>4652545.85/1000</f>
        <v>4652.5458499999995</v>
      </c>
      <c r="E49" s="424"/>
      <c r="F49" s="424">
        <f>[1]Página1!$E$654/1000</f>
        <v>57117.219409999998</v>
      </c>
      <c r="G49" s="191"/>
      <c r="H49" s="29"/>
      <c r="L49" s="226"/>
    </row>
    <row r="50" spans="1:12" s="47" customFormat="1" ht="15" x14ac:dyDescent="0.2">
      <c r="A50" s="110" t="s">
        <v>1706</v>
      </c>
      <c r="B50" s="443" t="s">
        <v>1887</v>
      </c>
      <c r="C50" s="128"/>
      <c r="D50" s="424">
        <f>25581322.16/1000</f>
        <v>25581.32216</v>
      </c>
      <c r="E50" s="424"/>
      <c r="F50" s="424">
        <f>[1]Página1!$E$669/1000</f>
        <v>25712.986629999999</v>
      </c>
      <c r="H50" s="29"/>
      <c r="L50" s="226"/>
    </row>
    <row r="51" spans="1:12" s="47" customFormat="1" ht="15" x14ac:dyDescent="0.2">
      <c r="A51" s="110" t="s">
        <v>1707</v>
      </c>
      <c r="B51" s="443" t="s">
        <v>1910</v>
      </c>
      <c r="C51" s="127"/>
      <c r="D51" s="424">
        <v>11932</v>
      </c>
      <c r="E51" s="424"/>
      <c r="F51" s="424">
        <f>([1]Página1!$E$667+[1]Página1!$E$668)/1000</f>
        <v>17067.178</v>
      </c>
      <c r="H51" s="29"/>
      <c r="L51" s="226"/>
    </row>
    <row r="52" spans="1:12" s="47" customFormat="1" ht="15" x14ac:dyDescent="0.2">
      <c r="A52" s="110" t="s">
        <v>1874</v>
      </c>
      <c r="B52" s="443" t="s">
        <v>1694</v>
      </c>
      <c r="C52" s="128"/>
      <c r="D52" s="424">
        <v>0</v>
      </c>
      <c r="E52" s="424"/>
      <c r="F52" s="424">
        <v>0</v>
      </c>
      <c r="H52" s="29"/>
      <c r="K52" s="104"/>
      <c r="L52" s="226"/>
    </row>
    <row r="53" spans="1:12" s="47" customFormat="1" ht="15" x14ac:dyDescent="0.2">
      <c r="A53" s="110" t="s">
        <v>1889</v>
      </c>
      <c r="B53" s="443" t="s">
        <v>1898</v>
      </c>
      <c r="C53" s="128"/>
      <c r="D53" s="424">
        <f>9221099.43/1000</f>
        <v>9221.0994300000002</v>
      </c>
      <c r="E53" s="424"/>
      <c r="F53" s="424">
        <v>0</v>
      </c>
      <c r="L53" s="226"/>
    </row>
    <row r="54" spans="1:12" s="47" customFormat="1" ht="15" x14ac:dyDescent="0.2">
      <c r="A54" s="110"/>
      <c r="B54" s="443"/>
      <c r="C54" s="128"/>
      <c r="D54" s="424"/>
      <c r="E54" s="424"/>
      <c r="F54" s="424"/>
      <c r="L54" s="226"/>
    </row>
    <row r="55" spans="1:12" ht="15" x14ac:dyDescent="0.25">
      <c r="A55" s="125" t="s">
        <v>1697</v>
      </c>
      <c r="B55" s="445"/>
      <c r="C55" s="107"/>
      <c r="D55" s="422">
        <f>SUM(D57:D64)</f>
        <v>321543.46590000001</v>
      </c>
      <c r="E55" s="422"/>
      <c r="F55" s="422">
        <f>SUM(F57:F64)</f>
        <v>203881.04460000002</v>
      </c>
    </row>
    <row r="56" spans="1:12" ht="15" x14ac:dyDescent="0.25">
      <c r="A56" s="125"/>
      <c r="B56" s="445"/>
      <c r="C56" s="126"/>
      <c r="D56" s="424"/>
      <c r="E56" s="424"/>
      <c r="F56" s="424"/>
    </row>
    <row r="57" spans="1:12" ht="15" x14ac:dyDescent="0.2">
      <c r="A57" s="110" t="s">
        <v>1698</v>
      </c>
      <c r="B57" s="443" t="s">
        <v>1896</v>
      </c>
      <c r="C57" s="129" t="s">
        <v>1436</v>
      </c>
      <c r="D57" s="424">
        <f>334150824.37/1000</f>
        <v>334150.82436999999</v>
      </c>
      <c r="E57" s="424"/>
      <c r="F57" s="424">
        <f>[1]Página1!$E$676/1000</f>
        <v>273318.71310000005</v>
      </c>
    </row>
    <row r="58" spans="1:12" ht="15" x14ac:dyDescent="0.2">
      <c r="A58" s="110" t="s">
        <v>1699</v>
      </c>
      <c r="B58" s="443" t="s">
        <v>1900</v>
      </c>
      <c r="C58" s="107" t="s">
        <v>1101</v>
      </c>
      <c r="D58" s="424">
        <f>6411449/1000</f>
        <v>6411.4489999999996</v>
      </c>
      <c r="E58" s="424"/>
      <c r="F58" s="424">
        <f>[1]Página1!$E$689/1000</f>
        <v>12723.379660000001</v>
      </c>
    </row>
    <row r="59" spans="1:12" ht="15" hidden="1" x14ac:dyDescent="0.2">
      <c r="A59" s="110" t="s">
        <v>1709</v>
      </c>
      <c r="B59" s="443"/>
      <c r="C59" s="107"/>
      <c r="D59" s="424"/>
      <c r="E59" s="424"/>
      <c r="F59" s="424"/>
    </row>
    <row r="60" spans="1:12" ht="15" x14ac:dyDescent="0.2">
      <c r="A60" s="110" t="s">
        <v>1708</v>
      </c>
      <c r="B60" s="443" t="s">
        <v>1704</v>
      </c>
      <c r="C60" s="107"/>
      <c r="D60" s="427">
        <f>-3011631/1000</f>
        <v>-3011.6309999999999</v>
      </c>
      <c r="E60" s="426"/>
      <c r="F60" s="427">
        <f>-[1]Página1!$E$681/1000</f>
        <v>-7645.14</v>
      </c>
    </row>
    <row r="61" spans="1:12" s="47" customFormat="1" ht="15" x14ac:dyDescent="0.2">
      <c r="A61" s="110" t="s">
        <v>1700</v>
      </c>
      <c r="B61" s="443" t="s">
        <v>1897</v>
      </c>
      <c r="C61" s="128"/>
      <c r="D61" s="424">
        <f>1761472.51/1000</f>
        <v>1761.4725100000001</v>
      </c>
      <c r="E61" s="424"/>
      <c r="F61" s="424">
        <f>[1]Página1!$E$685/1000</f>
        <v>1567.5233000000001</v>
      </c>
      <c r="G61" s="191"/>
      <c r="H61" s="45"/>
      <c r="L61" s="226"/>
    </row>
    <row r="62" spans="1:12" ht="15" hidden="1" x14ac:dyDescent="0.2">
      <c r="A62" s="130" t="s">
        <v>1701</v>
      </c>
      <c r="B62" s="447" t="s">
        <v>1702</v>
      </c>
      <c r="C62" s="127" t="s">
        <v>1437</v>
      </c>
      <c r="D62" s="424"/>
      <c r="E62" s="428"/>
      <c r="F62" s="424"/>
    </row>
    <row r="63" spans="1:12" ht="15" x14ac:dyDescent="0.2">
      <c r="A63" s="110" t="s">
        <v>1929</v>
      </c>
      <c r="B63" s="443" t="s">
        <v>1926</v>
      </c>
      <c r="C63" s="127" t="s">
        <v>1438</v>
      </c>
      <c r="D63" s="427">
        <f>-[2]Página1!$K$801/1000</f>
        <v>-17768.648980000002</v>
      </c>
      <c r="E63" s="426"/>
      <c r="F63" s="427">
        <f>-[1]Página1!$E$693/1000</f>
        <v>-76083.431459999993</v>
      </c>
      <c r="G63" s="112"/>
      <c r="H63" s="112"/>
      <c r="J63" s="112"/>
    </row>
    <row r="64" spans="1:12" ht="15" hidden="1" x14ac:dyDescent="0.2">
      <c r="A64" s="110" t="s">
        <v>1703</v>
      </c>
      <c r="B64" s="443" t="s">
        <v>1704</v>
      </c>
      <c r="C64" s="127"/>
      <c r="D64" s="424">
        <v>0</v>
      </c>
      <c r="E64" s="424"/>
      <c r="F64" s="424">
        <v>0</v>
      </c>
    </row>
    <row r="65" spans="1:9" ht="15" x14ac:dyDescent="0.2">
      <c r="B65" s="443"/>
      <c r="C65" s="107"/>
      <c r="D65" s="427"/>
      <c r="E65" s="424"/>
      <c r="F65" s="427"/>
    </row>
    <row r="66" spans="1:9" ht="15" x14ac:dyDescent="0.25">
      <c r="A66" s="125" t="s">
        <v>1119</v>
      </c>
      <c r="B66" s="443"/>
      <c r="C66" s="107"/>
      <c r="D66" s="422">
        <f>SUM(D68)</f>
        <v>1236.71749</v>
      </c>
      <c r="E66" s="429"/>
      <c r="F66" s="422">
        <f>SUM(F68)</f>
        <v>1236.71749</v>
      </c>
      <c r="H66" s="45"/>
    </row>
    <row r="67" spans="1:9" ht="15" x14ac:dyDescent="0.25">
      <c r="A67" s="125"/>
      <c r="B67" s="443"/>
      <c r="C67" s="107"/>
      <c r="D67" s="424"/>
      <c r="E67" s="424"/>
      <c r="F67" s="424"/>
    </row>
    <row r="68" spans="1:9" ht="15" x14ac:dyDescent="0.2">
      <c r="A68" s="110" t="s">
        <v>1705</v>
      </c>
      <c r="B68" s="443" t="s">
        <v>1716</v>
      </c>
      <c r="C68" s="127" t="s">
        <v>1439</v>
      </c>
      <c r="D68" s="424">
        <f>[3]Página1!$K$768/1000</f>
        <v>1236.71749</v>
      </c>
      <c r="E68" s="426"/>
      <c r="F68" s="424">
        <v>1236.71749</v>
      </c>
    </row>
    <row r="69" spans="1:9" ht="15" x14ac:dyDescent="0.2">
      <c r="A69" s="110"/>
      <c r="B69" s="443"/>
      <c r="C69" s="107"/>
      <c r="D69" s="424"/>
      <c r="E69" s="424"/>
      <c r="F69" s="424"/>
    </row>
    <row r="70" spans="1:9" ht="15" x14ac:dyDescent="0.25">
      <c r="A70" s="125" t="s">
        <v>1671</v>
      </c>
      <c r="B70" s="105"/>
      <c r="C70" s="107"/>
      <c r="D70" s="430">
        <f>SUM(D26+D43+D55+D68)</f>
        <v>410958.09139000002</v>
      </c>
      <c r="E70" s="430"/>
      <c r="F70" s="430">
        <f>SUM(F26+F43+F55+F68)</f>
        <v>322308.84884000005</v>
      </c>
      <c r="H70" s="45"/>
      <c r="I70" s="45"/>
    </row>
    <row r="71" spans="1:9" x14ac:dyDescent="0.2">
      <c r="A71" s="110"/>
      <c r="B71" s="110"/>
      <c r="C71" s="126"/>
      <c r="D71" s="422"/>
      <c r="E71" s="422"/>
      <c r="F71" s="396"/>
    </row>
    <row r="72" spans="1:9" x14ac:dyDescent="0.2">
      <c r="A72" s="110"/>
      <c r="B72" s="110"/>
      <c r="C72" s="107"/>
      <c r="D72" s="107"/>
      <c r="E72" s="110"/>
    </row>
    <row r="73" spans="1:9" x14ac:dyDescent="0.2">
      <c r="A73" s="461" t="s">
        <v>53</v>
      </c>
      <c r="B73" s="461"/>
      <c r="C73" s="461"/>
      <c r="D73" s="461"/>
      <c r="E73" s="461"/>
      <c r="F73" s="461"/>
    </row>
    <row r="75" spans="1:9" x14ac:dyDescent="0.2">
      <c r="D75" s="45"/>
      <c r="F75" s="107"/>
    </row>
    <row r="76" spans="1:9" x14ac:dyDescent="0.2">
      <c r="D76" s="45"/>
    </row>
    <row r="77" spans="1:9" x14ac:dyDescent="0.2">
      <c r="D77" s="45"/>
    </row>
    <row r="78" spans="1:9" x14ac:dyDescent="0.2">
      <c r="D78" s="45"/>
    </row>
    <row r="79" spans="1:9" x14ac:dyDescent="0.2">
      <c r="D79" s="45"/>
    </row>
    <row r="80" spans="1:9" x14ac:dyDescent="0.2">
      <c r="D80" s="45"/>
    </row>
    <row r="103" spans="1:3" x14ac:dyDescent="0.2">
      <c r="A103" s="30"/>
      <c r="B103" s="30"/>
    </row>
    <row r="104" spans="1:3" x14ac:dyDescent="0.2">
      <c r="C104" s="30"/>
    </row>
  </sheetData>
  <mergeCells count="8">
    <mergeCell ref="A9:F9"/>
    <mergeCell ref="A8:F8"/>
    <mergeCell ref="A73:F73"/>
    <mergeCell ref="A11:F11"/>
    <mergeCell ref="A13:F13"/>
    <mergeCell ref="A14:F14"/>
    <mergeCell ref="A15:F15"/>
    <mergeCell ref="A17:F17"/>
  </mergeCells>
  <pageMargins left="0.98425196850393704" right="0.78740157480314965" top="1.9685039370078741" bottom="0.35433070866141736" header="1.1811023622047245" footer="0.43307086614173229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showGridLines="0" topLeftCell="A16" zoomScale="98" zoomScaleNormal="98" zoomScaleSheetLayoutView="100" workbookViewId="0">
      <selection activeCell="D60" sqref="D60"/>
    </sheetView>
  </sheetViews>
  <sheetFormatPr defaultColWidth="11.42578125" defaultRowHeight="15" x14ac:dyDescent="0.25"/>
  <cols>
    <col min="1" max="1" width="44.85546875" style="48" customWidth="1"/>
    <col min="2" max="2" width="12.5703125" style="48" customWidth="1"/>
    <col min="3" max="3" width="12.5703125" style="48" hidden="1" customWidth="1"/>
    <col min="4" max="4" width="2.140625" style="48" hidden="1" customWidth="1"/>
    <col min="5" max="5" width="12.5703125" style="48" hidden="1" customWidth="1"/>
    <col min="6" max="6" width="2.28515625" style="48" customWidth="1"/>
    <col min="7" max="7" width="14.5703125" style="48" customWidth="1"/>
    <col min="8" max="8" width="2.7109375" style="48" customWidth="1"/>
    <col min="9" max="9" width="14.5703125" style="48" customWidth="1"/>
    <col min="10" max="10" width="2.28515625" style="48" customWidth="1"/>
    <col min="11" max="11" width="14.5703125" style="48" customWidth="1"/>
    <col min="12" max="12" width="2.28515625" style="48" customWidth="1"/>
    <col min="13" max="13" width="12.7109375" style="48" bestFit="1" customWidth="1"/>
    <col min="14" max="14" width="2.7109375" style="48" customWidth="1"/>
    <col min="15" max="16" width="11.42578125" style="48"/>
    <col min="17" max="17" width="13" style="48" bestFit="1" customWidth="1"/>
    <col min="18" max="225" width="11.42578125" style="48"/>
    <col min="226" max="226" width="44.85546875" style="48" customWidth="1"/>
    <col min="227" max="227" width="12.5703125" style="48" customWidth="1"/>
    <col min="228" max="230" width="0" style="48" hidden="1" customWidth="1"/>
    <col min="231" max="233" width="2.28515625" style="48" customWidth="1"/>
    <col min="234" max="234" width="14.5703125" style="48" customWidth="1"/>
    <col min="235" max="235" width="2.28515625" style="48" customWidth="1"/>
    <col min="236" max="236" width="14.5703125" style="48" customWidth="1"/>
    <col min="237" max="237" width="2.28515625" style="48" customWidth="1"/>
    <col min="238" max="481" width="11.42578125" style="48"/>
    <col min="482" max="482" width="44.85546875" style="48" customWidth="1"/>
    <col min="483" max="483" width="12.5703125" style="48" customWidth="1"/>
    <col min="484" max="486" width="0" style="48" hidden="1" customWidth="1"/>
    <col min="487" max="489" width="2.28515625" style="48" customWidth="1"/>
    <col min="490" max="490" width="14.5703125" style="48" customWidth="1"/>
    <col min="491" max="491" width="2.28515625" style="48" customWidth="1"/>
    <col min="492" max="492" width="14.5703125" style="48" customWidth="1"/>
    <col min="493" max="493" width="2.28515625" style="48" customWidth="1"/>
    <col min="494" max="737" width="11.42578125" style="48"/>
    <col min="738" max="738" width="44.85546875" style="48" customWidth="1"/>
    <col min="739" max="739" width="12.5703125" style="48" customWidth="1"/>
    <col min="740" max="742" width="0" style="48" hidden="1" customWidth="1"/>
    <col min="743" max="745" width="2.28515625" style="48" customWidth="1"/>
    <col min="746" max="746" width="14.5703125" style="48" customWidth="1"/>
    <col min="747" max="747" width="2.28515625" style="48" customWidth="1"/>
    <col min="748" max="748" width="14.5703125" style="48" customWidth="1"/>
    <col min="749" max="749" width="2.28515625" style="48" customWidth="1"/>
    <col min="750" max="993" width="11.42578125" style="48"/>
    <col min="994" max="994" width="44.85546875" style="48" customWidth="1"/>
    <col min="995" max="995" width="12.5703125" style="48" customWidth="1"/>
    <col min="996" max="998" width="0" style="48" hidden="1" customWidth="1"/>
    <col min="999" max="1001" width="2.28515625" style="48" customWidth="1"/>
    <col min="1002" max="1002" width="14.5703125" style="48" customWidth="1"/>
    <col min="1003" max="1003" width="2.28515625" style="48" customWidth="1"/>
    <col min="1004" max="1004" width="14.5703125" style="48" customWidth="1"/>
    <col min="1005" max="1005" width="2.28515625" style="48" customWidth="1"/>
    <col min="1006" max="1249" width="11.42578125" style="48"/>
    <col min="1250" max="1250" width="44.85546875" style="48" customWidth="1"/>
    <col min="1251" max="1251" width="12.5703125" style="48" customWidth="1"/>
    <col min="1252" max="1254" width="0" style="48" hidden="1" customWidth="1"/>
    <col min="1255" max="1257" width="2.28515625" style="48" customWidth="1"/>
    <col min="1258" max="1258" width="14.5703125" style="48" customWidth="1"/>
    <col min="1259" max="1259" width="2.28515625" style="48" customWidth="1"/>
    <col min="1260" max="1260" width="14.5703125" style="48" customWidth="1"/>
    <col min="1261" max="1261" width="2.28515625" style="48" customWidth="1"/>
    <col min="1262" max="1505" width="11.42578125" style="48"/>
    <col min="1506" max="1506" width="44.85546875" style="48" customWidth="1"/>
    <col min="1507" max="1507" width="12.5703125" style="48" customWidth="1"/>
    <col min="1508" max="1510" width="0" style="48" hidden="1" customWidth="1"/>
    <col min="1511" max="1513" width="2.28515625" style="48" customWidth="1"/>
    <col min="1514" max="1514" width="14.5703125" style="48" customWidth="1"/>
    <col min="1515" max="1515" width="2.28515625" style="48" customWidth="1"/>
    <col min="1516" max="1516" width="14.5703125" style="48" customWidth="1"/>
    <col min="1517" max="1517" width="2.28515625" style="48" customWidth="1"/>
    <col min="1518" max="1761" width="11.42578125" style="48"/>
    <col min="1762" max="1762" width="44.85546875" style="48" customWidth="1"/>
    <col min="1763" max="1763" width="12.5703125" style="48" customWidth="1"/>
    <col min="1764" max="1766" width="0" style="48" hidden="1" customWidth="1"/>
    <col min="1767" max="1769" width="2.28515625" style="48" customWidth="1"/>
    <col min="1770" max="1770" width="14.5703125" style="48" customWidth="1"/>
    <col min="1771" max="1771" width="2.28515625" style="48" customWidth="1"/>
    <col min="1772" max="1772" width="14.5703125" style="48" customWidth="1"/>
    <col min="1773" max="1773" width="2.28515625" style="48" customWidth="1"/>
    <col min="1774" max="2017" width="11.42578125" style="48"/>
    <col min="2018" max="2018" width="44.85546875" style="48" customWidth="1"/>
    <col min="2019" max="2019" width="12.5703125" style="48" customWidth="1"/>
    <col min="2020" max="2022" width="0" style="48" hidden="1" customWidth="1"/>
    <col min="2023" max="2025" width="2.28515625" style="48" customWidth="1"/>
    <col min="2026" max="2026" width="14.5703125" style="48" customWidth="1"/>
    <col min="2027" max="2027" width="2.28515625" style="48" customWidth="1"/>
    <col min="2028" max="2028" width="14.5703125" style="48" customWidth="1"/>
    <col min="2029" max="2029" width="2.28515625" style="48" customWidth="1"/>
    <col min="2030" max="2273" width="11.42578125" style="48"/>
    <col min="2274" max="2274" width="44.85546875" style="48" customWidth="1"/>
    <col min="2275" max="2275" width="12.5703125" style="48" customWidth="1"/>
    <col min="2276" max="2278" width="0" style="48" hidden="1" customWidth="1"/>
    <col min="2279" max="2281" width="2.28515625" style="48" customWidth="1"/>
    <col min="2282" max="2282" width="14.5703125" style="48" customWidth="1"/>
    <col min="2283" max="2283" width="2.28515625" style="48" customWidth="1"/>
    <col min="2284" max="2284" width="14.5703125" style="48" customWidth="1"/>
    <col min="2285" max="2285" width="2.28515625" style="48" customWidth="1"/>
    <col min="2286" max="2529" width="11.42578125" style="48"/>
    <col min="2530" max="2530" width="44.85546875" style="48" customWidth="1"/>
    <col min="2531" max="2531" width="12.5703125" style="48" customWidth="1"/>
    <col min="2532" max="2534" width="0" style="48" hidden="1" customWidth="1"/>
    <col min="2535" max="2537" width="2.28515625" style="48" customWidth="1"/>
    <col min="2538" max="2538" width="14.5703125" style="48" customWidth="1"/>
    <col min="2539" max="2539" width="2.28515625" style="48" customWidth="1"/>
    <col min="2540" max="2540" width="14.5703125" style="48" customWidth="1"/>
    <col min="2541" max="2541" width="2.28515625" style="48" customWidth="1"/>
    <col min="2542" max="2785" width="11.42578125" style="48"/>
    <col min="2786" max="2786" width="44.85546875" style="48" customWidth="1"/>
    <col min="2787" max="2787" width="12.5703125" style="48" customWidth="1"/>
    <col min="2788" max="2790" width="0" style="48" hidden="1" customWidth="1"/>
    <col min="2791" max="2793" width="2.28515625" style="48" customWidth="1"/>
    <col min="2794" max="2794" width="14.5703125" style="48" customWidth="1"/>
    <col min="2795" max="2795" width="2.28515625" style="48" customWidth="1"/>
    <col min="2796" max="2796" width="14.5703125" style="48" customWidth="1"/>
    <col min="2797" max="2797" width="2.28515625" style="48" customWidth="1"/>
    <col min="2798" max="3041" width="11.42578125" style="48"/>
    <col min="3042" max="3042" width="44.85546875" style="48" customWidth="1"/>
    <col min="3043" max="3043" width="12.5703125" style="48" customWidth="1"/>
    <col min="3044" max="3046" width="0" style="48" hidden="1" customWidth="1"/>
    <col min="3047" max="3049" width="2.28515625" style="48" customWidth="1"/>
    <col min="3050" max="3050" width="14.5703125" style="48" customWidth="1"/>
    <col min="3051" max="3051" width="2.28515625" style="48" customWidth="1"/>
    <col min="3052" max="3052" width="14.5703125" style="48" customWidth="1"/>
    <col min="3053" max="3053" width="2.28515625" style="48" customWidth="1"/>
    <col min="3054" max="3297" width="11.42578125" style="48"/>
    <col min="3298" max="3298" width="44.85546875" style="48" customWidth="1"/>
    <col min="3299" max="3299" width="12.5703125" style="48" customWidth="1"/>
    <col min="3300" max="3302" width="0" style="48" hidden="1" customWidth="1"/>
    <col min="3303" max="3305" width="2.28515625" style="48" customWidth="1"/>
    <col min="3306" max="3306" width="14.5703125" style="48" customWidth="1"/>
    <col min="3307" max="3307" width="2.28515625" style="48" customWidth="1"/>
    <col min="3308" max="3308" width="14.5703125" style="48" customWidth="1"/>
    <col min="3309" max="3309" width="2.28515625" style="48" customWidth="1"/>
    <col min="3310" max="3553" width="11.42578125" style="48"/>
    <col min="3554" max="3554" width="44.85546875" style="48" customWidth="1"/>
    <col min="3555" max="3555" width="12.5703125" style="48" customWidth="1"/>
    <col min="3556" max="3558" width="0" style="48" hidden="1" customWidth="1"/>
    <col min="3559" max="3561" width="2.28515625" style="48" customWidth="1"/>
    <col min="3562" max="3562" width="14.5703125" style="48" customWidth="1"/>
    <col min="3563" max="3563" width="2.28515625" style="48" customWidth="1"/>
    <col min="3564" max="3564" width="14.5703125" style="48" customWidth="1"/>
    <col min="3565" max="3565" width="2.28515625" style="48" customWidth="1"/>
    <col min="3566" max="3809" width="11.42578125" style="48"/>
    <col min="3810" max="3810" width="44.85546875" style="48" customWidth="1"/>
    <col min="3811" max="3811" width="12.5703125" style="48" customWidth="1"/>
    <col min="3812" max="3814" width="0" style="48" hidden="1" customWidth="1"/>
    <col min="3815" max="3817" width="2.28515625" style="48" customWidth="1"/>
    <col min="3818" max="3818" width="14.5703125" style="48" customWidth="1"/>
    <col min="3819" max="3819" width="2.28515625" style="48" customWidth="1"/>
    <col min="3820" max="3820" width="14.5703125" style="48" customWidth="1"/>
    <col min="3821" max="3821" width="2.28515625" style="48" customWidth="1"/>
    <col min="3822" max="4065" width="11.42578125" style="48"/>
    <col min="4066" max="4066" width="44.85546875" style="48" customWidth="1"/>
    <col min="4067" max="4067" width="12.5703125" style="48" customWidth="1"/>
    <col min="4068" max="4070" width="0" style="48" hidden="1" customWidth="1"/>
    <col min="4071" max="4073" width="2.28515625" style="48" customWidth="1"/>
    <col min="4074" max="4074" width="14.5703125" style="48" customWidth="1"/>
    <col min="4075" max="4075" width="2.28515625" style="48" customWidth="1"/>
    <col min="4076" max="4076" width="14.5703125" style="48" customWidth="1"/>
    <col min="4077" max="4077" width="2.28515625" style="48" customWidth="1"/>
    <col min="4078" max="4321" width="11.42578125" style="48"/>
    <col min="4322" max="4322" width="44.85546875" style="48" customWidth="1"/>
    <col min="4323" max="4323" width="12.5703125" style="48" customWidth="1"/>
    <col min="4324" max="4326" width="0" style="48" hidden="1" customWidth="1"/>
    <col min="4327" max="4329" width="2.28515625" style="48" customWidth="1"/>
    <col min="4330" max="4330" width="14.5703125" style="48" customWidth="1"/>
    <col min="4331" max="4331" width="2.28515625" style="48" customWidth="1"/>
    <col min="4332" max="4332" width="14.5703125" style="48" customWidth="1"/>
    <col min="4333" max="4333" width="2.28515625" style="48" customWidth="1"/>
    <col min="4334" max="4577" width="11.42578125" style="48"/>
    <col min="4578" max="4578" width="44.85546875" style="48" customWidth="1"/>
    <col min="4579" max="4579" width="12.5703125" style="48" customWidth="1"/>
    <col min="4580" max="4582" width="0" style="48" hidden="1" customWidth="1"/>
    <col min="4583" max="4585" width="2.28515625" style="48" customWidth="1"/>
    <col min="4586" max="4586" width="14.5703125" style="48" customWidth="1"/>
    <col min="4587" max="4587" width="2.28515625" style="48" customWidth="1"/>
    <col min="4588" max="4588" width="14.5703125" style="48" customWidth="1"/>
    <col min="4589" max="4589" width="2.28515625" style="48" customWidth="1"/>
    <col min="4590" max="4833" width="11.42578125" style="48"/>
    <col min="4834" max="4834" width="44.85546875" style="48" customWidth="1"/>
    <col min="4835" max="4835" width="12.5703125" style="48" customWidth="1"/>
    <col min="4836" max="4838" width="0" style="48" hidden="1" customWidth="1"/>
    <col min="4839" max="4841" width="2.28515625" style="48" customWidth="1"/>
    <col min="4842" max="4842" width="14.5703125" style="48" customWidth="1"/>
    <col min="4843" max="4843" width="2.28515625" style="48" customWidth="1"/>
    <col min="4844" max="4844" width="14.5703125" style="48" customWidth="1"/>
    <col min="4845" max="4845" width="2.28515625" style="48" customWidth="1"/>
    <col min="4846" max="5089" width="11.42578125" style="48"/>
    <col min="5090" max="5090" width="44.85546875" style="48" customWidth="1"/>
    <col min="5091" max="5091" width="12.5703125" style="48" customWidth="1"/>
    <col min="5092" max="5094" width="0" style="48" hidden="1" customWidth="1"/>
    <col min="5095" max="5097" width="2.28515625" style="48" customWidth="1"/>
    <col min="5098" max="5098" width="14.5703125" style="48" customWidth="1"/>
    <col min="5099" max="5099" width="2.28515625" style="48" customWidth="1"/>
    <col min="5100" max="5100" width="14.5703125" style="48" customWidth="1"/>
    <col min="5101" max="5101" width="2.28515625" style="48" customWidth="1"/>
    <col min="5102" max="5345" width="11.42578125" style="48"/>
    <col min="5346" max="5346" width="44.85546875" style="48" customWidth="1"/>
    <col min="5347" max="5347" width="12.5703125" style="48" customWidth="1"/>
    <col min="5348" max="5350" width="0" style="48" hidden="1" customWidth="1"/>
    <col min="5351" max="5353" width="2.28515625" style="48" customWidth="1"/>
    <col min="5354" max="5354" width="14.5703125" style="48" customWidth="1"/>
    <col min="5355" max="5355" width="2.28515625" style="48" customWidth="1"/>
    <col min="5356" max="5356" width="14.5703125" style="48" customWidth="1"/>
    <col min="5357" max="5357" width="2.28515625" style="48" customWidth="1"/>
    <col min="5358" max="5601" width="11.42578125" style="48"/>
    <col min="5602" max="5602" width="44.85546875" style="48" customWidth="1"/>
    <col min="5603" max="5603" width="12.5703125" style="48" customWidth="1"/>
    <col min="5604" max="5606" width="0" style="48" hidden="1" customWidth="1"/>
    <col min="5607" max="5609" width="2.28515625" style="48" customWidth="1"/>
    <col min="5610" max="5610" width="14.5703125" style="48" customWidth="1"/>
    <col min="5611" max="5611" width="2.28515625" style="48" customWidth="1"/>
    <col min="5612" max="5612" width="14.5703125" style="48" customWidth="1"/>
    <col min="5613" max="5613" width="2.28515625" style="48" customWidth="1"/>
    <col min="5614" max="5857" width="11.42578125" style="48"/>
    <col min="5858" max="5858" width="44.85546875" style="48" customWidth="1"/>
    <col min="5859" max="5859" width="12.5703125" style="48" customWidth="1"/>
    <col min="5860" max="5862" width="0" style="48" hidden="1" customWidth="1"/>
    <col min="5863" max="5865" width="2.28515625" style="48" customWidth="1"/>
    <col min="5866" max="5866" width="14.5703125" style="48" customWidth="1"/>
    <col min="5867" max="5867" width="2.28515625" style="48" customWidth="1"/>
    <col min="5868" max="5868" width="14.5703125" style="48" customWidth="1"/>
    <col min="5869" max="5869" width="2.28515625" style="48" customWidth="1"/>
    <col min="5870" max="6113" width="11.42578125" style="48"/>
    <col min="6114" max="6114" width="44.85546875" style="48" customWidth="1"/>
    <col min="6115" max="6115" width="12.5703125" style="48" customWidth="1"/>
    <col min="6116" max="6118" width="0" style="48" hidden="1" customWidth="1"/>
    <col min="6119" max="6121" width="2.28515625" style="48" customWidth="1"/>
    <col min="6122" max="6122" width="14.5703125" style="48" customWidth="1"/>
    <col min="6123" max="6123" width="2.28515625" style="48" customWidth="1"/>
    <col min="6124" max="6124" width="14.5703125" style="48" customWidth="1"/>
    <col min="6125" max="6125" width="2.28515625" style="48" customWidth="1"/>
    <col min="6126" max="6369" width="11.42578125" style="48"/>
    <col min="6370" max="6370" width="44.85546875" style="48" customWidth="1"/>
    <col min="6371" max="6371" width="12.5703125" style="48" customWidth="1"/>
    <col min="6372" max="6374" width="0" style="48" hidden="1" customWidth="1"/>
    <col min="6375" max="6377" width="2.28515625" style="48" customWidth="1"/>
    <col min="6378" max="6378" width="14.5703125" style="48" customWidth="1"/>
    <col min="6379" max="6379" width="2.28515625" style="48" customWidth="1"/>
    <col min="6380" max="6380" width="14.5703125" style="48" customWidth="1"/>
    <col min="6381" max="6381" width="2.28515625" style="48" customWidth="1"/>
    <col min="6382" max="6625" width="11.42578125" style="48"/>
    <col min="6626" max="6626" width="44.85546875" style="48" customWidth="1"/>
    <col min="6627" max="6627" width="12.5703125" style="48" customWidth="1"/>
    <col min="6628" max="6630" width="0" style="48" hidden="1" customWidth="1"/>
    <col min="6631" max="6633" width="2.28515625" style="48" customWidth="1"/>
    <col min="6634" max="6634" width="14.5703125" style="48" customWidth="1"/>
    <col min="6635" max="6635" width="2.28515625" style="48" customWidth="1"/>
    <col min="6636" max="6636" width="14.5703125" style="48" customWidth="1"/>
    <col min="6637" max="6637" width="2.28515625" style="48" customWidth="1"/>
    <col min="6638" max="6881" width="11.42578125" style="48"/>
    <col min="6882" max="6882" width="44.85546875" style="48" customWidth="1"/>
    <col min="6883" max="6883" width="12.5703125" style="48" customWidth="1"/>
    <col min="6884" max="6886" width="0" style="48" hidden="1" customWidth="1"/>
    <col min="6887" max="6889" width="2.28515625" style="48" customWidth="1"/>
    <col min="6890" max="6890" width="14.5703125" style="48" customWidth="1"/>
    <col min="6891" max="6891" width="2.28515625" style="48" customWidth="1"/>
    <col min="6892" max="6892" width="14.5703125" style="48" customWidth="1"/>
    <col min="6893" max="6893" width="2.28515625" style="48" customWidth="1"/>
    <col min="6894" max="7137" width="11.42578125" style="48"/>
    <col min="7138" max="7138" width="44.85546875" style="48" customWidth="1"/>
    <col min="7139" max="7139" width="12.5703125" style="48" customWidth="1"/>
    <col min="7140" max="7142" width="0" style="48" hidden="1" customWidth="1"/>
    <col min="7143" max="7145" width="2.28515625" style="48" customWidth="1"/>
    <col min="7146" max="7146" width="14.5703125" style="48" customWidth="1"/>
    <col min="7147" max="7147" width="2.28515625" style="48" customWidth="1"/>
    <col min="7148" max="7148" width="14.5703125" style="48" customWidth="1"/>
    <col min="7149" max="7149" width="2.28515625" style="48" customWidth="1"/>
    <col min="7150" max="7393" width="11.42578125" style="48"/>
    <col min="7394" max="7394" width="44.85546875" style="48" customWidth="1"/>
    <col min="7395" max="7395" width="12.5703125" style="48" customWidth="1"/>
    <col min="7396" max="7398" width="0" style="48" hidden="1" customWidth="1"/>
    <col min="7399" max="7401" width="2.28515625" style="48" customWidth="1"/>
    <col min="7402" max="7402" width="14.5703125" style="48" customWidth="1"/>
    <col min="7403" max="7403" width="2.28515625" style="48" customWidth="1"/>
    <col min="7404" max="7404" width="14.5703125" style="48" customWidth="1"/>
    <col min="7405" max="7405" width="2.28515625" style="48" customWidth="1"/>
    <col min="7406" max="7649" width="11.42578125" style="48"/>
    <col min="7650" max="7650" width="44.85546875" style="48" customWidth="1"/>
    <col min="7651" max="7651" width="12.5703125" style="48" customWidth="1"/>
    <col min="7652" max="7654" width="0" style="48" hidden="1" customWidth="1"/>
    <col min="7655" max="7657" width="2.28515625" style="48" customWidth="1"/>
    <col min="7658" max="7658" width="14.5703125" style="48" customWidth="1"/>
    <col min="7659" max="7659" width="2.28515625" style="48" customWidth="1"/>
    <col min="7660" max="7660" width="14.5703125" style="48" customWidth="1"/>
    <col min="7661" max="7661" width="2.28515625" style="48" customWidth="1"/>
    <col min="7662" max="7905" width="11.42578125" style="48"/>
    <col min="7906" max="7906" width="44.85546875" style="48" customWidth="1"/>
    <col min="7907" max="7907" width="12.5703125" style="48" customWidth="1"/>
    <col min="7908" max="7910" width="0" style="48" hidden="1" customWidth="1"/>
    <col min="7911" max="7913" width="2.28515625" style="48" customWidth="1"/>
    <col min="7914" max="7914" width="14.5703125" style="48" customWidth="1"/>
    <col min="7915" max="7915" width="2.28515625" style="48" customWidth="1"/>
    <col min="7916" max="7916" width="14.5703125" style="48" customWidth="1"/>
    <col min="7917" max="7917" width="2.28515625" style="48" customWidth="1"/>
    <col min="7918" max="8161" width="11.42578125" style="48"/>
    <col min="8162" max="8162" width="44.85546875" style="48" customWidth="1"/>
    <col min="8163" max="8163" width="12.5703125" style="48" customWidth="1"/>
    <col min="8164" max="8166" width="0" style="48" hidden="1" customWidth="1"/>
    <col min="8167" max="8169" width="2.28515625" style="48" customWidth="1"/>
    <col min="8170" max="8170" width="14.5703125" style="48" customWidth="1"/>
    <col min="8171" max="8171" width="2.28515625" style="48" customWidth="1"/>
    <col min="8172" max="8172" width="14.5703125" style="48" customWidth="1"/>
    <col min="8173" max="8173" width="2.28515625" style="48" customWidth="1"/>
    <col min="8174" max="8417" width="11.42578125" style="48"/>
    <col min="8418" max="8418" width="44.85546875" style="48" customWidth="1"/>
    <col min="8419" max="8419" width="12.5703125" style="48" customWidth="1"/>
    <col min="8420" max="8422" width="0" style="48" hidden="1" customWidth="1"/>
    <col min="8423" max="8425" width="2.28515625" style="48" customWidth="1"/>
    <col min="8426" max="8426" width="14.5703125" style="48" customWidth="1"/>
    <col min="8427" max="8427" width="2.28515625" style="48" customWidth="1"/>
    <col min="8428" max="8428" width="14.5703125" style="48" customWidth="1"/>
    <col min="8429" max="8429" width="2.28515625" style="48" customWidth="1"/>
    <col min="8430" max="8673" width="11.42578125" style="48"/>
    <col min="8674" max="8674" width="44.85546875" style="48" customWidth="1"/>
    <col min="8675" max="8675" width="12.5703125" style="48" customWidth="1"/>
    <col min="8676" max="8678" width="0" style="48" hidden="1" customWidth="1"/>
    <col min="8679" max="8681" width="2.28515625" style="48" customWidth="1"/>
    <col min="8682" max="8682" width="14.5703125" style="48" customWidth="1"/>
    <col min="8683" max="8683" width="2.28515625" style="48" customWidth="1"/>
    <col min="8684" max="8684" width="14.5703125" style="48" customWidth="1"/>
    <col min="8685" max="8685" width="2.28515625" style="48" customWidth="1"/>
    <col min="8686" max="8929" width="11.42578125" style="48"/>
    <col min="8930" max="8930" width="44.85546875" style="48" customWidth="1"/>
    <col min="8931" max="8931" width="12.5703125" style="48" customWidth="1"/>
    <col min="8932" max="8934" width="0" style="48" hidden="1" customWidth="1"/>
    <col min="8935" max="8937" width="2.28515625" style="48" customWidth="1"/>
    <col min="8938" max="8938" width="14.5703125" style="48" customWidth="1"/>
    <col min="8939" max="8939" width="2.28515625" style="48" customWidth="1"/>
    <col min="8940" max="8940" width="14.5703125" style="48" customWidth="1"/>
    <col min="8941" max="8941" width="2.28515625" style="48" customWidth="1"/>
    <col min="8942" max="9185" width="11.42578125" style="48"/>
    <col min="9186" max="9186" width="44.85546875" style="48" customWidth="1"/>
    <col min="9187" max="9187" width="12.5703125" style="48" customWidth="1"/>
    <col min="9188" max="9190" width="0" style="48" hidden="1" customWidth="1"/>
    <col min="9191" max="9193" width="2.28515625" style="48" customWidth="1"/>
    <col min="9194" max="9194" width="14.5703125" style="48" customWidth="1"/>
    <col min="9195" max="9195" width="2.28515625" style="48" customWidth="1"/>
    <col min="9196" max="9196" width="14.5703125" style="48" customWidth="1"/>
    <col min="9197" max="9197" width="2.28515625" style="48" customWidth="1"/>
    <col min="9198" max="9441" width="11.42578125" style="48"/>
    <col min="9442" max="9442" width="44.85546875" style="48" customWidth="1"/>
    <col min="9443" max="9443" width="12.5703125" style="48" customWidth="1"/>
    <col min="9444" max="9446" width="0" style="48" hidden="1" customWidth="1"/>
    <col min="9447" max="9449" width="2.28515625" style="48" customWidth="1"/>
    <col min="9450" max="9450" width="14.5703125" style="48" customWidth="1"/>
    <col min="9451" max="9451" width="2.28515625" style="48" customWidth="1"/>
    <col min="9452" max="9452" width="14.5703125" style="48" customWidth="1"/>
    <col min="9453" max="9453" width="2.28515625" style="48" customWidth="1"/>
    <col min="9454" max="9697" width="11.42578125" style="48"/>
    <col min="9698" max="9698" width="44.85546875" style="48" customWidth="1"/>
    <col min="9699" max="9699" width="12.5703125" style="48" customWidth="1"/>
    <col min="9700" max="9702" width="0" style="48" hidden="1" customWidth="1"/>
    <col min="9703" max="9705" width="2.28515625" style="48" customWidth="1"/>
    <col min="9706" max="9706" width="14.5703125" style="48" customWidth="1"/>
    <col min="9707" max="9707" width="2.28515625" style="48" customWidth="1"/>
    <col min="9708" max="9708" width="14.5703125" style="48" customWidth="1"/>
    <col min="9709" max="9709" width="2.28515625" style="48" customWidth="1"/>
    <col min="9710" max="9953" width="11.42578125" style="48"/>
    <col min="9954" max="9954" width="44.85546875" style="48" customWidth="1"/>
    <col min="9955" max="9955" width="12.5703125" style="48" customWidth="1"/>
    <col min="9956" max="9958" width="0" style="48" hidden="1" customWidth="1"/>
    <col min="9959" max="9961" width="2.28515625" style="48" customWidth="1"/>
    <col min="9962" max="9962" width="14.5703125" style="48" customWidth="1"/>
    <col min="9963" max="9963" width="2.28515625" style="48" customWidth="1"/>
    <col min="9964" max="9964" width="14.5703125" style="48" customWidth="1"/>
    <col min="9965" max="9965" width="2.28515625" style="48" customWidth="1"/>
    <col min="9966" max="10209" width="11.42578125" style="48"/>
    <col min="10210" max="10210" width="44.85546875" style="48" customWidth="1"/>
    <col min="10211" max="10211" width="12.5703125" style="48" customWidth="1"/>
    <col min="10212" max="10214" width="0" style="48" hidden="1" customWidth="1"/>
    <col min="10215" max="10217" width="2.28515625" style="48" customWidth="1"/>
    <col min="10218" max="10218" width="14.5703125" style="48" customWidth="1"/>
    <col min="10219" max="10219" width="2.28515625" style="48" customWidth="1"/>
    <col min="10220" max="10220" width="14.5703125" style="48" customWidth="1"/>
    <col min="10221" max="10221" width="2.28515625" style="48" customWidth="1"/>
    <col min="10222" max="10465" width="11.42578125" style="48"/>
    <col min="10466" max="10466" width="44.85546875" style="48" customWidth="1"/>
    <col min="10467" max="10467" width="12.5703125" style="48" customWidth="1"/>
    <col min="10468" max="10470" width="0" style="48" hidden="1" customWidth="1"/>
    <col min="10471" max="10473" width="2.28515625" style="48" customWidth="1"/>
    <col min="10474" max="10474" width="14.5703125" style="48" customWidth="1"/>
    <col min="10475" max="10475" width="2.28515625" style="48" customWidth="1"/>
    <col min="10476" max="10476" width="14.5703125" style="48" customWidth="1"/>
    <col min="10477" max="10477" width="2.28515625" style="48" customWidth="1"/>
    <col min="10478" max="10721" width="11.42578125" style="48"/>
    <col min="10722" max="10722" width="44.85546875" style="48" customWidth="1"/>
    <col min="10723" max="10723" width="12.5703125" style="48" customWidth="1"/>
    <col min="10724" max="10726" width="0" style="48" hidden="1" customWidth="1"/>
    <col min="10727" max="10729" width="2.28515625" style="48" customWidth="1"/>
    <col min="10730" max="10730" width="14.5703125" style="48" customWidth="1"/>
    <col min="10731" max="10731" width="2.28515625" style="48" customWidth="1"/>
    <col min="10732" max="10732" width="14.5703125" style="48" customWidth="1"/>
    <col min="10733" max="10733" width="2.28515625" style="48" customWidth="1"/>
    <col min="10734" max="10977" width="11.42578125" style="48"/>
    <col min="10978" max="10978" width="44.85546875" style="48" customWidth="1"/>
    <col min="10979" max="10979" width="12.5703125" style="48" customWidth="1"/>
    <col min="10980" max="10982" width="0" style="48" hidden="1" customWidth="1"/>
    <col min="10983" max="10985" width="2.28515625" style="48" customWidth="1"/>
    <col min="10986" max="10986" width="14.5703125" style="48" customWidth="1"/>
    <col min="10987" max="10987" width="2.28515625" style="48" customWidth="1"/>
    <col min="10988" max="10988" width="14.5703125" style="48" customWidth="1"/>
    <col min="10989" max="10989" width="2.28515625" style="48" customWidth="1"/>
    <col min="10990" max="11233" width="11.42578125" style="48"/>
    <col min="11234" max="11234" width="44.85546875" style="48" customWidth="1"/>
    <col min="11235" max="11235" width="12.5703125" style="48" customWidth="1"/>
    <col min="11236" max="11238" width="0" style="48" hidden="1" customWidth="1"/>
    <col min="11239" max="11241" width="2.28515625" style="48" customWidth="1"/>
    <col min="11242" max="11242" width="14.5703125" style="48" customWidth="1"/>
    <col min="11243" max="11243" width="2.28515625" style="48" customWidth="1"/>
    <col min="11244" max="11244" width="14.5703125" style="48" customWidth="1"/>
    <col min="11245" max="11245" width="2.28515625" style="48" customWidth="1"/>
    <col min="11246" max="11489" width="11.42578125" style="48"/>
    <col min="11490" max="11490" width="44.85546875" style="48" customWidth="1"/>
    <col min="11491" max="11491" width="12.5703125" style="48" customWidth="1"/>
    <col min="11492" max="11494" width="0" style="48" hidden="1" customWidth="1"/>
    <col min="11495" max="11497" width="2.28515625" style="48" customWidth="1"/>
    <col min="11498" max="11498" width="14.5703125" style="48" customWidth="1"/>
    <col min="11499" max="11499" width="2.28515625" style="48" customWidth="1"/>
    <col min="11500" max="11500" width="14.5703125" style="48" customWidth="1"/>
    <col min="11501" max="11501" width="2.28515625" style="48" customWidth="1"/>
    <col min="11502" max="11745" width="11.42578125" style="48"/>
    <col min="11746" max="11746" width="44.85546875" style="48" customWidth="1"/>
    <col min="11747" max="11747" width="12.5703125" style="48" customWidth="1"/>
    <col min="11748" max="11750" width="0" style="48" hidden="1" customWidth="1"/>
    <col min="11751" max="11753" width="2.28515625" style="48" customWidth="1"/>
    <col min="11754" max="11754" width="14.5703125" style="48" customWidth="1"/>
    <col min="11755" max="11755" width="2.28515625" style="48" customWidth="1"/>
    <col min="11756" max="11756" width="14.5703125" style="48" customWidth="1"/>
    <col min="11757" max="11757" width="2.28515625" style="48" customWidth="1"/>
    <col min="11758" max="12001" width="11.42578125" style="48"/>
    <col min="12002" max="12002" width="44.85546875" style="48" customWidth="1"/>
    <col min="12003" max="12003" width="12.5703125" style="48" customWidth="1"/>
    <col min="12004" max="12006" width="0" style="48" hidden="1" customWidth="1"/>
    <col min="12007" max="12009" width="2.28515625" style="48" customWidth="1"/>
    <col min="12010" max="12010" width="14.5703125" style="48" customWidth="1"/>
    <col min="12011" max="12011" width="2.28515625" style="48" customWidth="1"/>
    <col min="12012" max="12012" width="14.5703125" style="48" customWidth="1"/>
    <col min="12013" max="12013" width="2.28515625" style="48" customWidth="1"/>
    <col min="12014" max="12257" width="11.42578125" style="48"/>
    <col min="12258" max="12258" width="44.85546875" style="48" customWidth="1"/>
    <col min="12259" max="12259" width="12.5703125" style="48" customWidth="1"/>
    <col min="12260" max="12262" width="0" style="48" hidden="1" customWidth="1"/>
    <col min="12263" max="12265" width="2.28515625" style="48" customWidth="1"/>
    <col min="12266" max="12266" width="14.5703125" style="48" customWidth="1"/>
    <col min="12267" max="12267" width="2.28515625" style="48" customWidth="1"/>
    <col min="12268" max="12268" width="14.5703125" style="48" customWidth="1"/>
    <col min="12269" max="12269" width="2.28515625" style="48" customWidth="1"/>
    <col min="12270" max="12513" width="11.42578125" style="48"/>
    <col min="12514" max="12514" width="44.85546875" style="48" customWidth="1"/>
    <col min="12515" max="12515" width="12.5703125" style="48" customWidth="1"/>
    <col min="12516" max="12518" width="0" style="48" hidden="1" customWidth="1"/>
    <col min="12519" max="12521" width="2.28515625" style="48" customWidth="1"/>
    <col min="12522" max="12522" width="14.5703125" style="48" customWidth="1"/>
    <col min="12523" max="12523" width="2.28515625" style="48" customWidth="1"/>
    <col min="12524" max="12524" width="14.5703125" style="48" customWidth="1"/>
    <col min="12525" max="12525" width="2.28515625" style="48" customWidth="1"/>
    <col min="12526" max="12769" width="11.42578125" style="48"/>
    <col min="12770" max="12770" width="44.85546875" style="48" customWidth="1"/>
    <col min="12771" max="12771" width="12.5703125" style="48" customWidth="1"/>
    <col min="12772" max="12774" width="0" style="48" hidden="1" customWidth="1"/>
    <col min="12775" max="12777" width="2.28515625" style="48" customWidth="1"/>
    <col min="12778" max="12778" width="14.5703125" style="48" customWidth="1"/>
    <col min="12779" max="12779" width="2.28515625" style="48" customWidth="1"/>
    <col min="12780" max="12780" width="14.5703125" style="48" customWidth="1"/>
    <col min="12781" max="12781" width="2.28515625" style="48" customWidth="1"/>
    <col min="12782" max="13025" width="11.42578125" style="48"/>
    <col min="13026" max="13026" width="44.85546875" style="48" customWidth="1"/>
    <col min="13027" max="13027" width="12.5703125" style="48" customWidth="1"/>
    <col min="13028" max="13030" width="0" style="48" hidden="1" customWidth="1"/>
    <col min="13031" max="13033" width="2.28515625" style="48" customWidth="1"/>
    <col min="13034" max="13034" width="14.5703125" style="48" customWidth="1"/>
    <col min="13035" max="13035" width="2.28515625" style="48" customWidth="1"/>
    <col min="13036" max="13036" width="14.5703125" style="48" customWidth="1"/>
    <col min="13037" max="13037" width="2.28515625" style="48" customWidth="1"/>
    <col min="13038" max="13281" width="11.42578125" style="48"/>
    <col min="13282" max="13282" width="44.85546875" style="48" customWidth="1"/>
    <col min="13283" max="13283" width="12.5703125" style="48" customWidth="1"/>
    <col min="13284" max="13286" width="0" style="48" hidden="1" customWidth="1"/>
    <col min="13287" max="13289" width="2.28515625" style="48" customWidth="1"/>
    <col min="13290" max="13290" width="14.5703125" style="48" customWidth="1"/>
    <col min="13291" max="13291" width="2.28515625" style="48" customWidth="1"/>
    <col min="13292" max="13292" width="14.5703125" style="48" customWidth="1"/>
    <col min="13293" max="13293" width="2.28515625" style="48" customWidth="1"/>
    <col min="13294" max="13537" width="11.42578125" style="48"/>
    <col min="13538" max="13538" width="44.85546875" style="48" customWidth="1"/>
    <col min="13539" max="13539" width="12.5703125" style="48" customWidth="1"/>
    <col min="13540" max="13542" width="0" style="48" hidden="1" customWidth="1"/>
    <col min="13543" max="13545" width="2.28515625" style="48" customWidth="1"/>
    <col min="13546" max="13546" width="14.5703125" style="48" customWidth="1"/>
    <col min="13547" max="13547" width="2.28515625" style="48" customWidth="1"/>
    <col min="13548" max="13548" width="14.5703125" style="48" customWidth="1"/>
    <col min="13549" max="13549" width="2.28515625" style="48" customWidth="1"/>
    <col min="13550" max="13793" width="11.42578125" style="48"/>
    <col min="13794" max="13794" width="44.85546875" style="48" customWidth="1"/>
    <col min="13795" max="13795" width="12.5703125" style="48" customWidth="1"/>
    <col min="13796" max="13798" width="0" style="48" hidden="1" customWidth="1"/>
    <col min="13799" max="13801" width="2.28515625" style="48" customWidth="1"/>
    <col min="13802" max="13802" width="14.5703125" style="48" customWidth="1"/>
    <col min="13803" max="13803" width="2.28515625" style="48" customWidth="1"/>
    <col min="13804" max="13804" width="14.5703125" style="48" customWidth="1"/>
    <col min="13805" max="13805" width="2.28515625" style="48" customWidth="1"/>
    <col min="13806" max="14049" width="11.42578125" style="48"/>
    <col min="14050" max="14050" width="44.85546875" style="48" customWidth="1"/>
    <col min="14051" max="14051" width="12.5703125" style="48" customWidth="1"/>
    <col min="14052" max="14054" width="0" style="48" hidden="1" customWidth="1"/>
    <col min="14055" max="14057" width="2.28515625" style="48" customWidth="1"/>
    <col min="14058" max="14058" width="14.5703125" style="48" customWidth="1"/>
    <col min="14059" max="14059" width="2.28515625" style="48" customWidth="1"/>
    <col min="14060" max="14060" width="14.5703125" style="48" customWidth="1"/>
    <col min="14061" max="14061" width="2.28515625" style="48" customWidth="1"/>
    <col min="14062" max="14305" width="11.42578125" style="48"/>
    <col min="14306" max="14306" width="44.85546875" style="48" customWidth="1"/>
    <col min="14307" max="14307" width="12.5703125" style="48" customWidth="1"/>
    <col min="14308" max="14310" width="0" style="48" hidden="1" customWidth="1"/>
    <col min="14311" max="14313" width="2.28515625" style="48" customWidth="1"/>
    <col min="14314" max="14314" width="14.5703125" style="48" customWidth="1"/>
    <col min="14315" max="14315" width="2.28515625" style="48" customWidth="1"/>
    <col min="14316" max="14316" width="14.5703125" style="48" customWidth="1"/>
    <col min="14317" max="14317" width="2.28515625" style="48" customWidth="1"/>
    <col min="14318" max="14561" width="11.42578125" style="48"/>
    <col min="14562" max="14562" width="44.85546875" style="48" customWidth="1"/>
    <col min="14563" max="14563" width="12.5703125" style="48" customWidth="1"/>
    <col min="14564" max="14566" width="0" style="48" hidden="1" customWidth="1"/>
    <col min="14567" max="14569" width="2.28515625" style="48" customWidth="1"/>
    <col min="14570" max="14570" width="14.5703125" style="48" customWidth="1"/>
    <col min="14571" max="14571" width="2.28515625" style="48" customWidth="1"/>
    <col min="14572" max="14572" width="14.5703125" style="48" customWidth="1"/>
    <col min="14573" max="14573" width="2.28515625" style="48" customWidth="1"/>
    <col min="14574" max="14817" width="11.42578125" style="48"/>
    <col min="14818" max="14818" width="44.85546875" style="48" customWidth="1"/>
    <col min="14819" max="14819" width="12.5703125" style="48" customWidth="1"/>
    <col min="14820" max="14822" width="0" style="48" hidden="1" customWidth="1"/>
    <col min="14823" max="14825" width="2.28515625" style="48" customWidth="1"/>
    <col min="14826" max="14826" width="14.5703125" style="48" customWidth="1"/>
    <col min="14827" max="14827" width="2.28515625" style="48" customWidth="1"/>
    <col min="14828" max="14828" width="14.5703125" style="48" customWidth="1"/>
    <col min="14829" max="14829" width="2.28515625" style="48" customWidth="1"/>
    <col min="14830" max="15073" width="11.42578125" style="48"/>
    <col min="15074" max="15074" width="44.85546875" style="48" customWidth="1"/>
    <col min="15075" max="15075" width="12.5703125" style="48" customWidth="1"/>
    <col min="15076" max="15078" width="0" style="48" hidden="1" customWidth="1"/>
    <col min="15079" max="15081" width="2.28515625" style="48" customWidth="1"/>
    <col min="15082" max="15082" width="14.5703125" style="48" customWidth="1"/>
    <col min="15083" max="15083" width="2.28515625" style="48" customWidth="1"/>
    <col min="15084" max="15084" width="14.5703125" style="48" customWidth="1"/>
    <col min="15085" max="15085" width="2.28515625" style="48" customWidth="1"/>
    <col min="15086" max="15329" width="11.42578125" style="48"/>
    <col min="15330" max="15330" width="44.85546875" style="48" customWidth="1"/>
    <col min="15331" max="15331" width="12.5703125" style="48" customWidth="1"/>
    <col min="15332" max="15334" width="0" style="48" hidden="1" customWidth="1"/>
    <col min="15335" max="15337" width="2.28515625" style="48" customWidth="1"/>
    <col min="15338" max="15338" width="14.5703125" style="48" customWidth="1"/>
    <col min="15339" max="15339" width="2.28515625" style="48" customWidth="1"/>
    <col min="15340" max="15340" width="14.5703125" style="48" customWidth="1"/>
    <col min="15341" max="15341" width="2.28515625" style="48" customWidth="1"/>
    <col min="15342" max="15585" width="11.42578125" style="48"/>
    <col min="15586" max="15586" width="44.85546875" style="48" customWidth="1"/>
    <col min="15587" max="15587" width="12.5703125" style="48" customWidth="1"/>
    <col min="15588" max="15590" width="0" style="48" hidden="1" customWidth="1"/>
    <col min="15591" max="15593" width="2.28515625" style="48" customWidth="1"/>
    <col min="15594" max="15594" width="14.5703125" style="48" customWidth="1"/>
    <col min="15595" max="15595" width="2.28515625" style="48" customWidth="1"/>
    <col min="15596" max="15596" width="14.5703125" style="48" customWidth="1"/>
    <col min="15597" max="15597" width="2.28515625" style="48" customWidth="1"/>
    <col min="15598" max="15841" width="11.42578125" style="48"/>
    <col min="15842" max="15842" width="44.85546875" style="48" customWidth="1"/>
    <col min="15843" max="15843" width="12.5703125" style="48" customWidth="1"/>
    <col min="15844" max="15846" width="0" style="48" hidden="1" customWidth="1"/>
    <col min="15847" max="15849" width="2.28515625" style="48" customWidth="1"/>
    <col min="15850" max="15850" width="14.5703125" style="48" customWidth="1"/>
    <col min="15851" max="15851" width="2.28515625" style="48" customWidth="1"/>
    <col min="15852" max="15852" width="14.5703125" style="48" customWidth="1"/>
    <col min="15853" max="15853" width="2.28515625" style="48" customWidth="1"/>
    <col min="15854" max="16097" width="11.42578125" style="48"/>
    <col min="16098" max="16098" width="44.85546875" style="48" customWidth="1"/>
    <col min="16099" max="16099" width="12.5703125" style="48" customWidth="1"/>
    <col min="16100" max="16102" width="0" style="48" hidden="1" customWidth="1"/>
    <col min="16103" max="16105" width="2.28515625" style="48" customWidth="1"/>
    <col min="16106" max="16106" width="14.5703125" style="48" customWidth="1"/>
    <col min="16107" max="16107" width="2.28515625" style="48" customWidth="1"/>
    <col min="16108" max="16108" width="14.5703125" style="48" customWidth="1"/>
    <col min="16109" max="16109" width="2.28515625" style="48" customWidth="1"/>
    <col min="16110" max="16384" width="11.42578125" style="48"/>
  </cols>
  <sheetData>
    <row r="1" spans="1:13" hidden="1" x14ac:dyDescent="0.25"/>
    <row r="2" spans="1:13" hidden="1" x14ac:dyDescent="0.25"/>
    <row r="3" spans="1:13" hidden="1" x14ac:dyDescent="0.25"/>
    <row r="5" spans="1:13" hidden="1" x14ac:dyDescent="0.25"/>
    <row r="6" spans="1:13" hidden="1" x14ac:dyDescent="0.25"/>
    <row r="8" spans="1:13" x14ac:dyDescent="0.25">
      <c r="A8" s="470" t="s">
        <v>0</v>
      </c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</row>
    <row r="9" spans="1:13" x14ac:dyDescent="0.25">
      <c r="A9" s="470" t="s">
        <v>1</v>
      </c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</row>
    <row r="10" spans="1:13" x14ac:dyDescent="0.25">
      <c r="A10" s="115"/>
      <c r="B10" s="115"/>
      <c r="C10" s="115"/>
      <c r="D10" s="115"/>
      <c r="E10" s="115"/>
      <c r="F10" s="115"/>
      <c r="G10" s="115"/>
      <c r="H10" s="146"/>
      <c r="I10" s="146"/>
      <c r="J10" s="115"/>
      <c r="K10" s="49"/>
      <c r="L10" s="115"/>
    </row>
    <row r="11" spans="1:13" x14ac:dyDescent="0.25">
      <c r="A11" s="470" t="s">
        <v>2</v>
      </c>
      <c r="B11" s="470"/>
      <c r="C11" s="470"/>
      <c r="D11" s="470"/>
      <c r="E11" s="470"/>
      <c r="F11" s="470"/>
      <c r="G11" s="470"/>
      <c r="H11" s="470"/>
      <c r="I11" s="470"/>
      <c r="J11" s="470"/>
      <c r="K11" s="470"/>
      <c r="L11" s="470"/>
    </row>
    <row r="12" spans="1:13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49"/>
      <c r="L12" s="50"/>
    </row>
    <row r="13" spans="1:13" x14ac:dyDescent="0.25">
      <c r="A13" s="471" t="s">
        <v>1710</v>
      </c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</row>
    <row r="14" spans="1:13" x14ac:dyDescent="0.25">
      <c r="A14" s="471" t="s">
        <v>1790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</row>
    <row r="15" spans="1:13" x14ac:dyDescent="0.25">
      <c r="A15" s="471" t="s">
        <v>1711</v>
      </c>
      <c r="B15" s="471"/>
      <c r="C15" s="471"/>
      <c r="D15" s="471"/>
      <c r="E15" s="471"/>
      <c r="F15" s="471"/>
      <c r="G15" s="471"/>
      <c r="H15" s="471"/>
      <c r="I15" s="471"/>
      <c r="J15" s="471"/>
      <c r="K15" s="471"/>
      <c r="L15" s="471"/>
      <c r="M15" s="471"/>
    </row>
    <row r="17" spans="1:19" x14ac:dyDescent="0.25">
      <c r="O17" s="131" t="s">
        <v>1793</v>
      </c>
    </row>
    <row r="18" spans="1:19" x14ac:dyDescent="0.25">
      <c r="G18" s="2" t="s">
        <v>4</v>
      </c>
      <c r="H18" s="2"/>
      <c r="I18" s="2" t="s">
        <v>4</v>
      </c>
      <c r="K18" s="2" t="s">
        <v>4</v>
      </c>
      <c r="M18" s="2" t="s">
        <v>4</v>
      </c>
      <c r="O18" s="2" t="s">
        <v>4</v>
      </c>
    </row>
    <row r="19" spans="1:19" x14ac:dyDescent="0.25">
      <c r="G19" s="3">
        <v>44013</v>
      </c>
      <c r="H19" s="3"/>
      <c r="I19" s="3">
        <v>43647</v>
      </c>
      <c r="K19" s="3">
        <v>43831</v>
      </c>
      <c r="M19" s="3">
        <v>43466</v>
      </c>
      <c r="O19" s="3">
        <v>43466</v>
      </c>
    </row>
    <row r="20" spans="1:19" x14ac:dyDescent="0.25">
      <c r="G20" s="2" t="s">
        <v>5</v>
      </c>
      <c r="H20" s="2"/>
      <c r="I20" s="2" t="s">
        <v>5</v>
      </c>
      <c r="K20" s="2" t="s">
        <v>5</v>
      </c>
      <c r="M20" s="2" t="s">
        <v>5</v>
      </c>
      <c r="O20" s="2" t="s">
        <v>5</v>
      </c>
    </row>
    <row r="21" spans="1:19" x14ac:dyDescent="0.25">
      <c r="C21" s="114" t="s">
        <v>1712</v>
      </c>
      <c r="D21" s="114"/>
      <c r="E21" s="114" t="s">
        <v>1712</v>
      </c>
      <c r="F21" s="114"/>
      <c r="G21" s="4">
        <v>44104</v>
      </c>
      <c r="H21" s="4"/>
      <c r="I21" s="4">
        <v>43738</v>
      </c>
      <c r="J21" s="114"/>
      <c r="K21" s="4">
        <v>44104</v>
      </c>
      <c r="L21" s="114"/>
      <c r="M21" s="4">
        <v>43738</v>
      </c>
      <c r="N21" s="114"/>
      <c r="O21" s="4">
        <v>43830</v>
      </c>
    </row>
    <row r="22" spans="1:19" x14ac:dyDescent="0.25">
      <c r="C22" s="51" t="s">
        <v>1713</v>
      </c>
      <c r="D22" s="51"/>
      <c r="E22" s="51" t="s">
        <v>1714</v>
      </c>
      <c r="F22" s="51"/>
      <c r="G22" s="51"/>
      <c r="H22" s="51"/>
      <c r="I22" s="51"/>
      <c r="J22" s="51"/>
      <c r="K22" s="51"/>
      <c r="L22" s="51"/>
      <c r="M22" s="51"/>
      <c r="N22" s="51"/>
      <c r="O22" s="3"/>
      <c r="S22" s="147"/>
    </row>
    <row r="23" spans="1:19" x14ac:dyDescent="0.25">
      <c r="B23" s="52"/>
      <c r="C23" s="53"/>
      <c r="D23" s="53"/>
      <c r="E23" s="53"/>
      <c r="F23" s="52"/>
      <c r="G23" s="52"/>
      <c r="H23" s="52"/>
      <c r="I23" s="52"/>
      <c r="J23" s="52"/>
      <c r="K23" s="53"/>
      <c r="L23" s="52"/>
      <c r="M23" s="53"/>
      <c r="N23" s="53"/>
      <c r="O23" s="52"/>
      <c r="S23" s="148"/>
    </row>
    <row r="24" spans="1:19" x14ac:dyDescent="0.25">
      <c r="A24" s="54" t="s">
        <v>1715</v>
      </c>
      <c r="B24" s="52" t="s">
        <v>1716</v>
      </c>
      <c r="C24" s="53">
        <f>18656628.25-3336463.87</f>
        <v>15320164.379999999</v>
      </c>
      <c r="D24" s="53"/>
      <c r="E24" s="53">
        <f>15698058.45-2140132.97</f>
        <v>13557925.479999999</v>
      </c>
      <c r="F24" s="53"/>
      <c r="G24" s="147">
        <f>13159429.98/1000</f>
        <v>13159.429980000001</v>
      </c>
      <c r="H24" s="55"/>
      <c r="I24" s="147">
        <f>(14556.43113-2169.50102-1644.44248+4.12781)</f>
        <v>10746.615440000001</v>
      </c>
      <c r="J24" s="53"/>
      <c r="K24" s="55">
        <v>38635.422989999999</v>
      </c>
      <c r="L24" s="55"/>
      <c r="M24" s="147">
        <f>45607.24553-7360.61837-5501.46101+4.12781+35.691</f>
        <v>32784.984960000009</v>
      </c>
      <c r="N24" s="53"/>
      <c r="O24" s="55">
        <v>47921.439140000002</v>
      </c>
      <c r="P24" s="55">
        <v>47921.439140000002</v>
      </c>
      <c r="S24" s="133"/>
    </row>
    <row r="25" spans="1:19" x14ac:dyDescent="0.25">
      <c r="B25" s="52"/>
      <c r="C25" s="52"/>
      <c r="D25" s="52"/>
      <c r="E25" s="52"/>
      <c r="F25" s="53"/>
      <c r="G25" s="56"/>
      <c r="H25" s="56"/>
      <c r="I25" s="148"/>
      <c r="J25" s="53"/>
      <c r="K25" s="56">
        <v>0</v>
      </c>
      <c r="L25" s="55"/>
      <c r="M25" s="148"/>
      <c r="N25" s="52"/>
      <c r="O25" s="56">
        <v>0</v>
      </c>
      <c r="P25" s="56">
        <v>0</v>
      </c>
      <c r="S25" s="132"/>
    </row>
    <row r="26" spans="1:19" x14ac:dyDescent="0.25">
      <c r="A26" s="54" t="s">
        <v>1717</v>
      </c>
      <c r="B26" s="52" t="s">
        <v>1718</v>
      </c>
      <c r="C26" s="53">
        <f>574014.32-10085908.16</f>
        <v>-9511893.8399999999</v>
      </c>
      <c r="D26" s="53"/>
      <c r="E26" s="53">
        <v>-5972590.46</v>
      </c>
      <c r="F26" s="55"/>
      <c r="G26" s="55">
        <f>(-10573026.93+767775.83)/1000</f>
        <v>-9805.2510999999995</v>
      </c>
      <c r="H26" s="55"/>
      <c r="I26" s="133">
        <f>-13374.10431+667.83574</f>
        <v>-12706.26857</v>
      </c>
      <c r="J26" s="55"/>
      <c r="K26" s="55">
        <f>-29706.70842</f>
        <v>-29706.708419999999</v>
      </c>
      <c r="L26" s="55"/>
      <c r="M26" s="133">
        <f>-33815.0005</f>
        <v>-33815.000500000002</v>
      </c>
      <c r="N26" s="53"/>
      <c r="O26" s="55">
        <v>-44774.483030000003</v>
      </c>
      <c r="P26" s="55">
        <v>-44774.483030000003</v>
      </c>
      <c r="S26" s="133"/>
    </row>
    <row r="27" spans="1:19" x14ac:dyDescent="0.25">
      <c r="A27" s="57"/>
      <c r="B27" s="52"/>
      <c r="C27" s="52"/>
      <c r="D27" s="52"/>
      <c r="E27" s="52"/>
      <c r="F27" s="55"/>
      <c r="G27" s="56"/>
      <c r="H27" s="56"/>
      <c r="I27" s="132"/>
      <c r="J27" s="55"/>
      <c r="K27" s="56">
        <v>0</v>
      </c>
      <c r="L27" s="55"/>
      <c r="M27" s="132"/>
      <c r="N27" s="52"/>
      <c r="O27" s="56">
        <v>0</v>
      </c>
      <c r="P27" s="56">
        <v>0</v>
      </c>
      <c r="S27" s="149"/>
    </row>
    <row r="28" spans="1:19" x14ac:dyDescent="0.25">
      <c r="A28" s="54" t="s">
        <v>1719</v>
      </c>
      <c r="B28" s="52"/>
      <c r="C28" s="53">
        <f>C24+C26</f>
        <v>5808270.5399999991</v>
      </c>
      <c r="D28" s="53"/>
      <c r="E28" s="53">
        <f>E24+E26</f>
        <v>7585335.0199999986</v>
      </c>
      <c r="F28" s="55"/>
      <c r="G28" s="55">
        <f>SUM(G24:G27)</f>
        <v>3354.1788800000013</v>
      </c>
      <c r="H28" s="55"/>
      <c r="I28" s="133">
        <f>I24+I26</f>
        <v>-1959.6531299999988</v>
      </c>
      <c r="J28" s="55"/>
      <c r="K28" s="55">
        <f>SUM(K24:K27)</f>
        <v>8928.7145700000001</v>
      </c>
      <c r="L28" s="55"/>
      <c r="M28" s="133">
        <f>M24+M26</f>
        <v>-1030.0155399999931</v>
      </c>
      <c r="N28" s="53"/>
      <c r="O28" s="55">
        <f>SUM(O24:O27)</f>
        <v>3146.9561099999992</v>
      </c>
      <c r="P28" s="55">
        <f>SUM(P24:P27)</f>
        <v>3146.9561099999992</v>
      </c>
      <c r="S28" s="133"/>
    </row>
    <row r="29" spans="1:19" x14ac:dyDescent="0.25">
      <c r="A29" s="57"/>
      <c r="B29" s="52"/>
      <c r="C29" s="52"/>
      <c r="D29" s="52"/>
      <c r="E29" s="52"/>
      <c r="F29" s="55"/>
      <c r="G29" s="56">
        <v>0</v>
      </c>
      <c r="H29" s="56"/>
      <c r="I29" s="149"/>
      <c r="J29" s="55"/>
      <c r="K29" s="56">
        <v>0</v>
      </c>
      <c r="L29" s="55"/>
      <c r="M29" s="149"/>
      <c r="N29" s="52"/>
      <c r="O29" s="132">
        <v>0</v>
      </c>
      <c r="P29" s="132">
        <v>0</v>
      </c>
      <c r="S29" s="132"/>
    </row>
    <row r="30" spans="1:19" x14ac:dyDescent="0.25">
      <c r="A30" s="54" t="s">
        <v>1720</v>
      </c>
      <c r="B30" s="52"/>
      <c r="C30" s="53" t="e">
        <f>(C32+C33+#REF!+C34)</f>
        <v>#REF!</v>
      </c>
      <c r="D30" s="53"/>
      <c r="E30" s="53" t="e">
        <f>(E32+E33+#REF!+E34)</f>
        <v>#REF!</v>
      </c>
      <c r="F30" s="55"/>
      <c r="G30" s="55">
        <f>(G32+G33+G34)</f>
        <v>-4669.8628399999998</v>
      </c>
      <c r="H30" s="55"/>
      <c r="I30" s="133">
        <f>(I32+I33+I34+I35)</f>
        <v>-5571.21749</v>
      </c>
      <c r="J30" s="55"/>
      <c r="K30" s="55">
        <f>(K32+K33+K34)</f>
        <v>-13922.627220000002</v>
      </c>
      <c r="L30" s="55"/>
      <c r="M30" s="133">
        <f>(M32+M33+M34+M35)</f>
        <v>-21120.037830000001</v>
      </c>
      <c r="N30" s="53"/>
      <c r="O30" s="133">
        <f>(O32+O33+O34)</f>
        <v>-26724.602999999999</v>
      </c>
      <c r="P30" s="133">
        <f>(P32+P33+P34)</f>
        <v>-25180.934000000001</v>
      </c>
      <c r="Q30" s="69"/>
      <c r="S30" s="133"/>
    </row>
    <row r="31" spans="1:19" x14ac:dyDescent="0.25">
      <c r="B31" s="52"/>
      <c r="C31" s="52"/>
      <c r="D31" s="52"/>
      <c r="E31" s="52"/>
      <c r="F31" s="55"/>
      <c r="G31" s="56">
        <v>0</v>
      </c>
      <c r="H31" s="56"/>
      <c r="I31" s="132"/>
      <c r="J31" s="55"/>
      <c r="K31" s="56">
        <v>0</v>
      </c>
      <c r="L31" s="55"/>
      <c r="M31" s="132"/>
      <c r="N31" s="52"/>
      <c r="O31" s="132">
        <v>0</v>
      </c>
      <c r="P31" s="132">
        <v>0</v>
      </c>
      <c r="Q31" s="69"/>
      <c r="S31" s="133"/>
    </row>
    <row r="32" spans="1:19" x14ac:dyDescent="0.25">
      <c r="A32" s="48" t="s">
        <v>1721</v>
      </c>
      <c r="B32" s="52" t="s">
        <v>1722</v>
      </c>
      <c r="C32" s="53">
        <f>-6916226.02+349885.19</f>
        <v>-6566340.8299999991</v>
      </c>
      <c r="D32" s="53"/>
      <c r="E32" s="53">
        <v>-6836215.71</v>
      </c>
      <c r="F32" s="55"/>
      <c r="G32" s="55">
        <f>(-7309149.97+310112.03)/1000</f>
        <v>-6999.0379399999993</v>
      </c>
      <c r="H32" s="55"/>
      <c r="I32" s="133">
        <f>-7355.65734+326.41475</f>
        <v>-7029.2425899999998</v>
      </c>
      <c r="J32" s="55"/>
      <c r="K32" s="55">
        <f>-19731.85257+108.59987</f>
        <v>-19623.252700000001</v>
      </c>
      <c r="L32" s="55"/>
      <c r="M32" s="133">
        <f>-22094.17811</f>
        <v>-22094.178110000001</v>
      </c>
      <c r="N32" s="53"/>
      <c r="O32" s="133">
        <f>-28362.50178-108.59987</f>
        <v>-28471.101649999997</v>
      </c>
      <c r="P32" s="133">
        <f>-28362.50178</f>
        <v>-28362.501779999999</v>
      </c>
      <c r="Q32" s="69"/>
      <c r="S32" s="133"/>
    </row>
    <row r="33" spans="1:19" x14ac:dyDescent="0.25">
      <c r="A33" s="48" t="s">
        <v>1723</v>
      </c>
      <c r="B33" s="52" t="s">
        <v>1724</v>
      </c>
      <c r="C33" s="53">
        <f>1479001.44+476.76</f>
        <v>1479478.2</v>
      </c>
      <c r="D33" s="53"/>
      <c r="E33" s="53">
        <v>2234.09</v>
      </c>
      <c r="F33" s="55"/>
      <c r="G33" s="55">
        <f>2329.1751</f>
        <v>2329.1750999999999</v>
      </c>
      <c r="H33" s="55"/>
      <c r="I33" s="133">
        <f>1644.44248-4.12781+84.67043-53.77491+3.55024-225.34954+8.61421</f>
        <v>1458.0250999999998</v>
      </c>
      <c r="J33" s="55"/>
      <c r="K33" s="55">
        <f>4265.55635+1435.06913</f>
        <v>5700.6254799999997</v>
      </c>
      <c r="L33" s="55"/>
      <c r="M33" s="133">
        <f>5501.46101-4.12781-35.691+340.93851+12.96636-291.17325</f>
        <v>5524.3738200000007</v>
      </c>
      <c r="N33" s="53"/>
      <c r="O33" s="133">
        <f>7731.80132-1435.06913</f>
        <v>6296.7321899999997</v>
      </c>
      <c r="P33" s="133">
        <f>7731.80132</f>
        <v>7731.8013199999996</v>
      </c>
      <c r="Q33" s="69"/>
      <c r="S33" s="150"/>
    </row>
    <row r="34" spans="1:19" x14ac:dyDescent="0.25">
      <c r="A34" s="48" t="s">
        <v>1785</v>
      </c>
      <c r="B34" s="52"/>
      <c r="C34" s="53">
        <v>0</v>
      </c>
      <c r="D34" s="53"/>
      <c r="E34" s="53">
        <v>0</v>
      </c>
      <c r="F34" s="55"/>
      <c r="G34" s="55">
        <v>0</v>
      </c>
      <c r="H34" s="55"/>
      <c r="I34" s="133">
        <v>0</v>
      </c>
      <c r="J34" s="55"/>
      <c r="K34" s="55">
        <v>0</v>
      </c>
      <c r="L34" s="55"/>
      <c r="M34" s="150">
        <f>-4550.23354</f>
        <v>-4550.2335400000002</v>
      </c>
      <c r="N34" s="53"/>
      <c r="O34" s="133">
        <v>-4550.2335400000002</v>
      </c>
      <c r="P34" s="133">
        <v>-4550.2335400000002</v>
      </c>
      <c r="Q34" s="69"/>
      <c r="S34" s="132"/>
    </row>
    <row r="35" spans="1:19" x14ac:dyDescent="0.25">
      <c r="B35" s="52"/>
      <c r="C35" s="52"/>
      <c r="D35" s="52"/>
      <c r="E35" s="52"/>
      <c r="F35" s="59"/>
      <c r="Q35" s="69"/>
      <c r="R35" s="59"/>
      <c r="S35" s="132"/>
    </row>
    <row r="36" spans="1:19" x14ac:dyDescent="0.25">
      <c r="A36" s="54" t="s">
        <v>1725</v>
      </c>
      <c r="B36" s="52"/>
      <c r="C36" s="52"/>
      <c r="D36" s="52"/>
      <c r="E36" s="52"/>
      <c r="F36" s="55"/>
      <c r="G36" s="56"/>
      <c r="H36" s="56"/>
      <c r="I36" s="132"/>
      <c r="J36" s="55"/>
      <c r="K36" s="56"/>
      <c r="L36" s="55"/>
      <c r="M36" s="132"/>
      <c r="N36" s="52"/>
      <c r="O36" s="132"/>
      <c r="P36" s="132"/>
      <c r="Q36" s="69"/>
      <c r="S36" s="133"/>
    </row>
    <row r="37" spans="1:19" x14ac:dyDescent="0.25">
      <c r="A37" s="54" t="s">
        <v>1380</v>
      </c>
      <c r="B37" s="52"/>
      <c r="C37" s="53" t="e">
        <f>C28+C30</f>
        <v>#REF!</v>
      </c>
      <c r="D37" s="53"/>
      <c r="E37" s="53" t="e">
        <f>E28+E30</f>
        <v>#REF!</v>
      </c>
      <c r="F37" s="55"/>
      <c r="G37" s="55">
        <f>G28+G30</f>
        <v>-1315.6839599999985</v>
      </c>
      <c r="H37" s="55"/>
      <c r="I37" s="133">
        <f>I28+I30</f>
        <v>-7530.8706199999988</v>
      </c>
      <c r="J37" s="55"/>
      <c r="K37" s="55">
        <f>K28+K30</f>
        <v>-4993.912650000002</v>
      </c>
      <c r="L37" s="55"/>
      <c r="M37" s="133">
        <f>M28+M30</f>
        <v>-22150.053369999994</v>
      </c>
      <c r="N37" s="53"/>
      <c r="O37" s="133">
        <f>O28+O30</f>
        <v>-23577.64689</v>
      </c>
      <c r="P37" s="133">
        <f>P28+P30</f>
        <v>-22033.977890000002</v>
      </c>
      <c r="Q37" s="69"/>
      <c r="S37" s="132"/>
    </row>
    <row r="38" spans="1:19" x14ac:dyDescent="0.25">
      <c r="A38" s="54"/>
      <c r="B38" s="52"/>
      <c r="C38" s="52"/>
      <c r="D38" s="52"/>
      <c r="E38" s="52"/>
      <c r="F38" s="55"/>
      <c r="G38" s="56">
        <v>0</v>
      </c>
      <c r="H38" s="56"/>
      <c r="I38" s="132"/>
      <c r="J38" s="55"/>
      <c r="K38" s="56">
        <v>0</v>
      </c>
      <c r="L38" s="55"/>
      <c r="M38" s="132"/>
      <c r="N38" s="52"/>
      <c r="O38" s="132">
        <v>0</v>
      </c>
      <c r="P38" s="132">
        <v>0</v>
      </c>
      <c r="Q38" s="69"/>
      <c r="S38" s="134"/>
    </row>
    <row r="39" spans="1:19" x14ac:dyDescent="0.25">
      <c r="A39" s="48" t="s">
        <v>1726</v>
      </c>
      <c r="B39" s="52" t="s">
        <v>1727</v>
      </c>
      <c r="C39" s="58">
        <f>125613.81-9498.46</f>
        <v>116115.35</v>
      </c>
      <c r="D39" s="58"/>
      <c r="E39" s="58">
        <v>126550.15</v>
      </c>
      <c r="F39" s="59"/>
      <c r="G39" s="59">
        <f>(504672.54-957.29)/1000</f>
        <v>503.71525000000003</v>
      </c>
      <c r="H39" s="59"/>
      <c r="I39" s="134">
        <f>103.7576</f>
        <v>103.7576</v>
      </c>
      <c r="J39" s="59"/>
      <c r="K39" s="59">
        <v>911.23964000000001</v>
      </c>
      <c r="L39" s="59"/>
      <c r="M39" s="134">
        <f>377.36706</f>
        <v>377.36705999999998</v>
      </c>
      <c r="N39" s="58"/>
      <c r="O39" s="59">
        <v>436.15994999999998</v>
      </c>
      <c r="P39" s="59">
        <v>436.15994999999998</v>
      </c>
      <c r="Q39" s="69"/>
      <c r="S39" s="134"/>
    </row>
    <row r="40" spans="1:19" x14ac:dyDescent="0.25">
      <c r="A40" s="48" t="s">
        <v>1728</v>
      </c>
      <c r="B40" s="52" t="s">
        <v>1729</v>
      </c>
      <c r="C40" s="58">
        <v>-2575947.29</v>
      </c>
      <c r="D40" s="58"/>
      <c r="E40" s="58">
        <v>-1318966.04</v>
      </c>
      <c r="F40" s="59"/>
      <c r="G40" s="59">
        <f>-(1112444.12-127863.37)/1000</f>
        <v>-984.58075000000008</v>
      </c>
      <c r="H40" s="59"/>
      <c r="I40" s="134">
        <f>-1066.35328+0.17644</f>
        <v>-1066.1768400000001</v>
      </c>
      <c r="J40" s="59"/>
      <c r="K40" s="59">
        <v>-2161.7209200000002</v>
      </c>
      <c r="L40" s="59"/>
      <c r="M40" s="134">
        <f>-3015.76228</f>
        <v>-3015.7622799999999</v>
      </c>
      <c r="N40" s="58"/>
      <c r="O40" s="59">
        <v>-3799.6820400000001</v>
      </c>
      <c r="P40" s="59">
        <v>-3799.6820400000001</v>
      </c>
      <c r="Q40" s="69"/>
      <c r="S40" s="132"/>
    </row>
    <row r="41" spans="1:19" ht="15" hidden="1" customHeight="1" x14ac:dyDescent="0.25">
      <c r="B41" s="52"/>
      <c r="C41" s="52"/>
      <c r="D41" s="52"/>
      <c r="E41" s="52"/>
      <c r="F41" s="55"/>
      <c r="G41" s="56">
        <v>0</v>
      </c>
      <c r="H41" s="56"/>
      <c r="I41" s="132"/>
      <c r="J41" s="55"/>
      <c r="K41" s="56">
        <v>0</v>
      </c>
      <c r="L41" s="55"/>
      <c r="M41" s="132"/>
      <c r="N41" s="52"/>
      <c r="O41" s="56">
        <v>0</v>
      </c>
      <c r="P41" s="56">
        <v>0</v>
      </c>
      <c r="Q41" s="69"/>
      <c r="S41" s="132"/>
    </row>
    <row r="42" spans="1:19" x14ac:dyDescent="0.25">
      <c r="B42" s="52"/>
      <c r="C42" s="52"/>
      <c r="D42" s="52"/>
      <c r="E42" s="52"/>
      <c r="F42" s="55"/>
      <c r="G42" s="56">
        <v>0</v>
      </c>
      <c r="H42" s="56"/>
      <c r="I42" s="132"/>
      <c r="J42" s="55"/>
      <c r="K42" s="56">
        <v>0</v>
      </c>
      <c r="L42" s="55"/>
      <c r="M42" s="132"/>
      <c r="N42" s="52"/>
      <c r="O42" s="56">
        <v>0</v>
      </c>
      <c r="P42" s="56">
        <v>0</v>
      </c>
      <c r="Q42" s="69"/>
      <c r="S42" s="133"/>
    </row>
    <row r="43" spans="1:19" x14ac:dyDescent="0.25">
      <c r="A43" s="54" t="s">
        <v>1730</v>
      </c>
      <c r="B43" s="52"/>
      <c r="C43" s="53" t="e">
        <f>C37+C39+C40</f>
        <v>#REF!</v>
      </c>
      <c r="D43" s="53"/>
      <c r="E43" s="53" t="e">
        <f>E37+E39+E40</f>
        <v>#REF!</v>
      </c>
      <c r="F43" s="55"/>
      <c r="G43" s="55">
        <f>G37+G39+G40</f>
        <v>-1796.5494599999986</v>
      </c>
      <c r="H43" s="55"/>
      <c r="I43" s="133">
        <f>I37+I39+I40</f>
        <v>-8493.289859999999</v>
      </c>
      <c r="J43" s="55"/>
      <c r="K43" s="55">
        <f>K37+K39+K40</f>
        <v>-6244.393930000002</v>
      </c>
      <c r="L43" s="55"/>
      <c r="M43" s="133">
        <f>M37+M39+M40</f>
        <v>-24788.448589999993</v>
      </c>
      <c r="N43" s="53"/>
      <c r="O43" s="55">
        <f>O37+O39+O40</f>
        <v>-26941.168979999999</v>
      </c>
      <c r="P43" s="55">
        <f>P37+P39+P40</f>
        <v>-25397.499980000001</v>
      </c>
      <c r="Q43" s="69"/>
      <c r="S43" s="132"/>
    </row>
    <row r="44" spans="1:19" x14ac:dyDescent="0.25">
      <c r="A44" s="54"/>
      <c r="B44" s="52"/>
      <c r="C44" s="52"/>
      <c r="D44" s="52"/>
      <c r="E44" s="52"/>
      <c r="F44" s="55"/>
      <c r="G44" s="56">
        <v>0</v>
      </c>
      <c r="H44" s="56"/>
      <c r="I44" s="132"/>
      <c r="J44" s="55"/>
      <c r="K44" s="56">
        <v>0</v>
      </c>
      <c r="L44" s="55"/>
      <c r="M44" s="132"/>
      <c r="N44" s="52"/>
      <c r="O44" s="56">
        <v>0</v>
      </c>
      <c r="P44" s="56">
        <v>0</v>
      </c>
      <c r="Q44" s="69"/>
      <c r="S44" s="147"/>
    </row>
    <row r="45" spans="1:19" ht="17.25" x14ac:dyDescent="0.4">
      <c r="A45" s="54" t="s">
        <v>1731</v>
      </c>
      <c r="B45" s="52"/>
      <c r="C45" s="53">
        <v>0</v>
      </c>
      <c r="D45" s="53"/>
      <c r="E45" s="53">
        <v>0</v>
      </c>
      <c r="F45" s="60"/>
      <c r="G45" s="55">
        <v>0</v>
      </c>
      <c r="H45" s="55"/>
      <c r="I45" s="55"/>
      <c r="J45" s="60"/>
      <c r="K45" s="55">
        <v>0</v>
      </c>
      <c r="L45" s="61"/>
      <c r="M45" s="147"/>
      <c r="N45" s="53"/>
      <c r="O45" s="55">
        <v>0</v>
      </c>
      <c r="P45" s="55">
        <v>0</v>
      </c>
      <c r="Q45" s="69"/>
      <c r="S45" s="151"/>
    </row>
    <row r="46" spans="1:19" ht="15" hidden="1" customHeight="1" x14ac:dyDescent="0.25">
      <c r="A46" s="54" t="s">
        <v>1732</v>
      </c>
      <c r="B46" s="54"/>
      <c r="C46" s="54"/>
      <c r="D46" s="54"/>
      <c r="E46" s="54"/>
      <c r="F46" s="55"/>
      <c r="G46" s="62">
        <v>0</v>
      </c>
      <c r="H46" s="62"/>
      <c r="I46" s="151"/>
      <c r="J46" s="55"/>
      <c r="K46" s="62">
        <v>0</v>
      </c>
      <c r="L46" s="55"/>
      <c r="M46" s="151"/>
      <c r="N46" s="54"/>
      <c r="O46" s="62">
        <v>0</v>
      </c>
      <c r="P46" s="62">
        <v>0</v>
      </c>
      <c r="Q46" s="69"/>
      <c r="S46" s="151"/>
    </row>
    <row r="47" spans="1:19" ht="15" hidden="1" customHeight="1" x14ac:dyDescent="0.25">
      <c r="A47" s="54" t="s">
        <v>1733</v>
      </c>
      <c r="B47" s="54"/>
      <c r="C47" s="54"/>
      <c r="D47" s="54"/>
      <c r="E47" s="54"/>
      <c r="F47" s="55"/>
      <c r="G47" s="62">
        <v>0</v>
      </c>
      <c r="H47" s="62"/>
      <c r="I47" s="151"/>
      <c r="J47" s="55"/>
      <c r="K47" s="62">
        <v>0</v>
      </c>
      <c r="L47" s="55"/>
      <c r="M47" s="151"/>
      <c r="N47" s="54"/>
      <c r="O47" s="62">
        <v>0</v>
      </c>
      <c r="P47" s="62">
        <v>0</v>
      </c>
      <c r="Q47" s="69"/>
      <c r="S47" s="152"/>
    </row>
    <row r="48" spans="1:19" ht="15" hidden="1" customHeight="1" x14ac:dyDescent="0.25">
      <c r="A48" s="57"/>
      <c r="B48" s="57"/>
      <c r="C48" s="57"/>
      <c r="D48" s="57"/>
      <c r="E48" s="57"/>
      <c r="F48" s="55"/>
      <c r="G48" s="63">
        <v>0</v>
      </c>
      <c r="H48" s="63"/>
      <c r="I48" s="152"/>
      <c r="J48" s="55"/>
      <c r="K48" s="63">
        <v>0</v>
      </c>
      <c r="L48" s="55"/>
      <c r="M48" s="152"/>
      <c r="N48" s="57"/>
      <c r="O48" s="63">
        <v>0</v>
      </c>
      <c r="P48" s="63">
        <v>0</v>
      </c>
      <c r="Q48" s="69"/>
      <c r="S48" s="151"/>
    </row>
    <row r="49" spans="1:19" ht="15" hidden="1" customHeight="1" x14ac:dyDescent="0.25">
      <c r="A49" s="54" t="s">
        <v>1734</v>
      </c>
      <c r="B49" s="54"/>
      <c r="C49" s="54"/>
      <c r="D49" s="54"/>
      <c r="E49" s="54"/>
      <c r="F49" s="55"/>
      <c r="G49" s="62">
        <v>0</v>
      </c>
      <c r="H49" s="62"/>
      <c r="I49" s="151"/>
      <c r="J49" s="55"/>
      <c r="K49" s="62">
        <v>0</v>
      </c>
      <c r="L49" s="55"/>
      <c r="M49" s="151"/>
      <c r="N49" s="54"/>
      <c r="O49" s="62">
        <v>0</v>
      </c>
      <c r="P49" s="62">
        <v>0</v>
      </c>
      <c r="Q49" s="69"/>
      <c r="S49" s="134"/>
    </row>
    <row r="50" spans="1:19" ht="15" hidden="1" customHeight="1" x14ac:dyDescent="0.25">
      <c r="F50" s="55"/>
      <c r="G50" s="59">
        <v>0</v>
      </c>
      <c r="H50" s="59"/>
      <c r="I50" s="134"/>
      <c r="J50" s="55"/>
      <c r="K50" s="59">
        <v>0</v>
      </c>
      <c r="L50" s="55"/>
      <c r="M50" s="134"/>
      <c r="O50" s="59">
        <v>0</v>
      </c>
      <c r="P50" s="59">
        <v>0</v>
      </c>
      <c r="Q50" s="69"/>
      <c r="S50" s="134"/>
    </row>
    <row r="51" spans="1:19" x14ac:dyDescent="0.25">
      <c r="A51" s="48" t="s">
        <v>54</v>
      </c>
      <c r="F51" s="55"/>
      <c r="G51" s="59">
        <v>0</v>
      </c>
      <c r="H51" s="59"/>
      <c r="I51" s="134"/>
      <c r="J51" s="55"/>
      <c r="K51" s="59">
        <v>0</v>
      </c>
      <c r="L51" s="55"/>
      <c r="M51" s="134"/>
      <c r="O51" s="64"/>
      <c r="P51" s="64"/>
      <c r="Q51" s="69"/>
      <c r="S51" s="135"/>
    </row>
    <row r="52" spans="1:19" x14ac:dyDescent="0.25">
      <c r="A52" s="54" t="s">
        <v>1735</v>
      </c>
      <c r="B52" s="52" t="s">
        <v>1789</v>
      </c>
      <c r="C52" s="53" t="e">
        <f>C43+C45</f>
        <v>#REF!</v>
      </c>
      <c r="D52" s="53"/>
      <c r="E52" s="53" t="e">
        <f>E43+E45</f>
        <v>#REF!</v>
      </c>
      <c r="F52" s="64"/>
      <c r="G52" s="64">
        <f>G43+G45</f>
        <v>-1796.5494599999986</v>
      </c>
      <c r="H52" s="64"/>
      <c r="I52" s="135">
        <f>I43+I45</f>
        <v>-8493.289859999999</v>
      </c>
      <c r="J52" s="64"/>
      <c r="K52" s="64">
        <f>K43+K45</f>
        <v>-6244.393930000002</v>
      </c>
      <c r="L52" s="55"/>
      <c r="M52" s="135">
        <f>M43+M45</f>
        <v>-24788.448589999993</v>
      </c>
      <c r="N52" s="53"/>
      <c r="O52" s="135">
        <f>O43+O45</f>
        <v>-26941.168979999999</v>
      </c>
      <c r="P52" s="135">
        <f>P43+P45</f>
        <v>-25397.499980000001</v>
      </c>
      <c r="S52" s="135"/>
    </row>
    <row r="53" spans="1:19" x14ac:dyDescent="0.25">
      <c r="A53" s="54"/>
      <c r="B53" s="54"/>
      <c r="C53" s="53"/>
      <c r="D53" s="53"/>
      <c r="E53" s="53"/>
      <c r="F53" s="64"/>
      <c r="G53" s="64"/>
      <c r="H53" s="64"/>
      <c r="J53" s="64"/>
      <c r="K53" s="64"/>
      <c r="L53" s="53"/>
    </row>
    <row r="54" spans="1:19" x14ac:dyDescent="0.25">
      <c r="A54" s="65"/>
      <c r="B54" s="65"/>
      <c r="C54" s="66"/>
      <c r="D54" s="65"/>
      <c r="E54" s="65"/>
      <c r="F54" s="67"/>
      <c r="G54" s="67"/>
      <c r="H54" s="67"/>
      <c r="I54" s="135"/>
      <c r="J54" s="67"/>
      <c r="K54" s="67"/>
      <c r="L54" s="66"/>
    </row>
    <row r="55" spans="1:19" ht="15" customHeight="1" x14ac:dyDescent="0.25">
      <c r="A55" s="468" t="s">
        <v>53</v>
      </c>
      <c r="B55" s="468"/>
      <c r="C55" s="468"/>
      <c r="D55" s="468"/>
      <c r="E55" s="468"/>
      <c r="F55" s="468"/>
      <c r="G55" s="468"/>
      <c r="H55" s="468"/>
      <c r="I55" s="468"/>
      <c r="J55" s="468"/>
      <c r="K55" s="468"/>
      <c r="L55" s="468"/>
      <c r="M55" s="468"/>
    </row>
    <row r="56" spans="1:19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L56" s="65"/>
    </row>
    <row r="57" spans="1:19" x14ac:dyDescent="0.25">
      <c r="A57" s="65"/>
      <c r="B57" s="65"/>
      <c r="C57" s="65"/>
      <c r="D57" s="65"/>
      <c r="E57" s="65"/>
      <c r="F57" s="65"/>
      <c r="G57" s="68"/>
      <c r="H57" s="68"/>
      <c r="I57" s="68"/>
      <c r="J57" s="65"/>
      <c r="L57" s="65"/>
      <c r="Q57" s="69"/>
    </row>
    <row r="58" spans="1:19" x14ac:dyDescent="0.25">
      <c r="A58" s="469"/>
      <c r="B58" s="469"/>
      <c r="C58" s="469"/>
      <c r="D58" s="469"/>
      <c r="E58" s="469"/>
      <c r="G58" s="69"/>
      <c r="H58" s="69"/>
      <c r="I58" s="69"/>
      <c r="K58" s="70"/>
      <c r="Q58" s="69"/>
    </row>
    <row r="59" spans="1:19" x14ac:dyDescent="0.25">
      <c r="A59" s="65"/>
      <c r="B59" s="65"/>
      <c r="C59" s="68"/>
      <c r="D59" s="68"/>
      <c r="E59" s="68"/>
      <c r="F59" s="65"/>
      <c r="G59" s="65"/>
      <c r="H59" s="65"/>
      <c r="I59" s="65"/>
      <c r="J59" s="65"/>
      <c r="K59" s="70"/>
      <c r="L59" s="65"/>
    </row>
    <row r="60" spans="1:19" x14ac:dyDescent="0.25">
      <c r="G60" s="69"/>
      <c r="H60" s="69"/>
      <c r="I60" s="69"/>
    </row>
    <row r="61" spans="1:19" x14ac:dyDescent="0.25">
      <c r="A61" s="65"/>
      <c r="B61" s="65"/>
      <c r="C61" s="68"/>
      <c r="D61" s="68"/>
      <c r="E61" s="68"/>
      <c r="F61" s="65"/>
      <c r="G61" s="65"/>
      <c r="H61" s="65"/>
      <c r="I61" s="65"/>
      <c r="J61" s="65"/>
      <c r="L61" s="65"/>
    </row>
    <row r="62" spans="1:19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L62" s="65"/>
    </row>
    <row r="63" spans="1:19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L63" s="65"/>
    </row>
    <row r="64" spans="1:19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L64" s="65"/>
    </row>
    <row r="68" spans="1:12" x14ac:dyDescent="0.25">
      <c r="A68" s="114"/>
      <c r="B68" s="114"/>
      <c r="C68" s="114"/>
      <c r="D68" s="114"/>
      <c r="E68" s="114"/>
      <c r="F68" s="114"/>
      <c r="G68" s="114"/>
      <c r="H68" s="145"/>
      <c r="I68" s="145"/>
      <c r="J68" s="114"/>
      <c r="L68" s="114"/>
    </row>
  </sheetData>
  <mergeCells count="8">
    <mergeCell ref="A55:M55"/>
    <mergeCell ref="A58:E58"/>
    <mergeCell ref="A8:L8"/>
    <mergeCell ref="A9:L9"/>
    <mergeCell ref="A11:L11"/>
    <mergeCell ref="A13:M13"/>
    <mergeCell ref="A14:M14"/>
    <mergeCell ref="A15:M15"/>
  </mergeCells>
  <pageMargins left="0.98425196850393704" right="0.78740157480314965" top="2.4803149606299213" bottom="0.78740157480314965" header="0" footer="0"/>
  <pageSetup paperSize="9" scale="85" orientation="portrait" r:id="rId1"/>
  <headerFooter alignWithMargins="0"/>
  <rowBreaks count="1" manualBreakCount="1">
    <brk id="55" max="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9"/>
  <sheetViews>
    <sheetView showGridLines="0" topLeftCell="A54" zoomScale="98" zoomScaleNormal="98" zoomScaleSheetLayoutView="100" workbookViewId="0">
      <selection activeCell="P24" sqref="P24"/>
    </sheetView>
  </sheetViews>
  <sheetFormatPr defaultColWidth="11.42578125" defaultRowHeight="15" x14ac:dyDescent="0.25"/>
  <cols>
    <col min="1" max="1" width="49.7109375" style="48" customWidth="1"/>
    <col min="2" max="2" width="12.5703125" style="48" customWidth="1"/>
    <col min="3" max="3" width="12.7109375" style="48" customWidth="1"/>
    <col min="4" max="4" width="2.140625" style="48" customWidth="1"/>
    <col min="5" max="5" width="14.42578125" style="48" customWidth="1"/>
    <col min="6" max="6" width="2.28515625" style="48" customWidth="1"/>
    <col min="7" max="8" width="2.28515625" style="48" hidden="1" customWidth="1"/>
    <col min="9" max="9" width="2.7109375" style="48" customWidth="1"/>
    <col min="10" max="10" width="11.7109375" style="48" customWidth="1"/>
    <col min="11" max="11" width="2.28515625" style="48" customWidth="1"/>
    <col min="12" max="12" width="12.28515625" style="48" customWidth="1"/>
    <col min="13" max="13" width="2.28515625" style="48" customWidth="1"/>
    <col min="14" max="14" width="12.5703125" style="48" bestFit="1" customWidth="1"/>
    <col min="15" max="15" width="14.42578125" style="201" customWidth="1"/>
    <col min="16" max="16" width="15.28515625" style="201" bestFit="1" customWidth="1"/>
    <col min="17" max="17" width="13.28515625" style="48" bestFit="1" customWidth="1"/>
    <col min="18" max="18" width="16.85546875" style="48" bestFit="1" customWidth="1"/>
    <col min="19" max="19" width="11.42578125" style="48"/>
    <col min="20" max="20" width="12.5703125" style="48" bestFit="1" customWidth="1"/>
    <col min="21" max="215" width="11.42578125" style="48"/>
    <col min="216" max="216" width="44.85546875" style="48" customWidth="1"/>
    <col min="217" max="217" width="12.5703125" style="48" customWidth="1"/>
    <col min="218" max="220" width="0" style="48" hidden="1" customWidth="1"/>
    <col min="221" max="223" width="2.28515625" style="48" customWidth="1"/>
    <col min="224" max="224" width="14.5703125" style="48" customWidth="1"/>
    <col min="225" max="225" width="2.28515625" style="48" customWidth="1"/>
    <col min="226" max="226" width="14.5703125" style="48" customWidth="1"/>
    <col min="227" max="227" width="2.28515625" style="48" customWidth="1"/>
    <col min="228" max="471" width="11.42578125" style="48"/>
    <col min="472" max="472" width="44.85546875" style="48" customWidth="1"/>
    <col min="473" max="473" width="12.5703125" style="48" customWidth="1"/>
    <col min="474" max="476" width="0" style="48" hidden="1" customWidth="1"/>
    <col min="477" max="479" width="2.28515625" style="48" customWidth="1"/>
    <col min="480" max="480" width="14.5703125" style="48" customWidth="1"/>
    <col min="481" max="481" width="2.28515625" style="48" customWidth="1"/>
    <col min="482" max="482" width="14.5703125" style="48" customWidth="1"/>
    <col min="483" max="483" width="2.28515625" style="48" customWidth="1"/>
    <col min="484" max="727" width="11.42578125" style="48"/>
    <col min="728" max="728" width="44.85546875" style="48" customWidth="1"/>
    <col min="729" max="729" width="12.5703125" style="48" customWidth="1"/>
    <col min="730" max="732" width="0" style="48" hidden="1" customWidth="1"/>
    <col min="733" max="735" width="2.28515625" style="48" customWidth="1"/>
    <col min="736" max="736" width="14.5703125" style="48" customWidth="1"/>
    <col min="737" max="737" width="2.28515625" style="48" customWidth="1"/>
    <col min="738" max="738" width="14.5703125" style="48" customWidth="1"/>
    <col min="739" max="739" width="2.28515625" style="48" customWidth="1"/>
    <col min="740" max="983" width="11.42578125" style="48"/>
    <col min="984" max="984" width="44.85546875" style="48" customWidth="1"/>
    <col min="985" max="985" width="12.5703125" style="48" customWidth="1"/>
    <col min="986" max="988" width="0" style="48" hidden="1" customWidth="1"/>
    <col min="989" max="991" width="2.28515625" style="48" customWidth="1"/>
    <col min="992" max="992" width="14.5703125" style="48" customWidth="1"/>
    <col min="993" max="993" width="2.28515625" style="48" customWidth="1"/>
    <col min="994" max="994" width="14.5703125" style="48" customWidth="1"/>
    <col min="995" max="995" width="2.28515625" style="48" customWidth="1"/>
    <col min="996" max="1239" width="11.42578125" style="48"/>
    <col min="1240" max="1240" width="44.85546875" style="48" customWidth="1"/>
    <col min="1241" max="1241" width="12.5703125" style="48" customWidth="1"/>
    <col min="1242" max="1244" width="0" style="48" hidden="1" customWidth="1"/>
    <col min="1245" max="1247" width="2.28515625" style="48" customWidth="1"/>
    <col min="1248" max="1248" width="14.5703125" style="48" customWidth="1"/>
    <col min="1249" max="1249" width="2.28515625" style="48" customWidth="1"/>
    <col min="1250" max="1250" width="14.5703125" style="48" customWidth="1"/>
    <col min="1251" max="1251" width="2.28515625" style="48" customWidth="1"/>
    <col min="1252" max="1495" width="11.42578125" style="48"/>
    <col min="1496" max="1496" width="44.85546875" style="48" customWidth="1"/>
    <col min="1497" max="1497" width="12.5703125" style="48" customWidth="1"/>
    <col min="1498" max="1500" width="0" style="48" hidden="1" customWidth="1"/>
    <col min="1501" max="1503" width="2.28515625" style="48" customWidth="1"/>
    <col min="1504" max="1504" width="14.5703125" style="48" customWidth="1"/>
    <col min="1505" max="1505" width="2.28515625" style="48" customWidth="1"/>
    <col min="1506" max="1506" width="14.5703125" style="48" customWidth="1"/>
    <col min="1507" max="1507" width="2.28515625" style="48" customWidth="1"/>
    <col min="1508" max="1751" width="11.42578125" style="48"/>
    <col min="1752" max="1752" width="44.85546875" style="48" customWidth="1"/>
    <col min="1753" max="1753" width="12.5703125" style="48" customWidth="1"/>
    <col min="1754" max="1756" width="0" style="48" hidden="1" customWidth="1"/>
    <col min="1757" max="1759" width="2.28515625" style="48" customWidth="1"/>
    <col min="1760" max="1760" width="14.5703125" style="48" customWidth="1"/>
    <col min="1761" max="1761" width="2.28515625" style="48" customWidth="1"/>
    <col min="1762" max="1762" width="14.5703125" style="48" customWidth="1"/>
    <col min="1763" max="1763" width="2.28515625" style="48" customWidth="1"/>
    <col min="1764" max="2007" width="11.42578125" style="48"/>
    <col min="2008" max="2008" width="44.85546875" style="48" customWidth="1"/>
    <col min="2009" max="2009" width="12.5703125" style="48" customWidth="1"/>
    <col min="2010" max="2012" width="0" style="48" hidden="1" customWidth="1"/>
    <col min="2013" max="2015" width="2.28515625" style="48" customWidth="1"/>
    <col min="2016" max="2016" width="14.5703125" style="48" customWidth="1"/>
    <col min="2017" max="2017" width="2.28515625" style="48" customWidth="1"/>
    <col min="2018" max="2018" width="14.5703125" style="48" customWidth="1"/>
    <col min="2019" max="2019" width="2.28515625" style="48" customWidth="1"/>
    <col min="2020" max="2263" width="11.42578125" style="48"/>
    <col min="2264" max="2264" width="44.85546875" style="48" customWidth="1"/>
    <col min="2265" max="2265" width="12.5703125" style="48" customWidth="1"/>
    <col min="2266" max="2268" width="0" style="48" hidden="1" customWidth="1"/>
    <col min="2269" max="2271" width="2.28515625" style="48" customWidth="1"/>
    <col min="2272" max="2272" width="14.5703125" style="48" customWidth="1"/>
    <col min="2273" max="2273" width="2.28515625" style="48" customWidth="1"/>
    <col min="2274" max="2274" width="14.5703125" style="48" customWidth="1"/>
    <col min="2275" max="2275" width="2.28515625" style="48" customWidth="1"/>
    <col min="2276" max="2519" width="11.42578125" style="48"/>
    <col min="2520" max="2520" width="44.85546875" style="48" customWidth="1"/>
    <col min="2521" max="2521" width="12.5703125" style="48" customWidth="1"/>
    <col min="2522" max="2524" width="0" style="48" hidden="1" customWidth="1"/>
    <col min="2525" max="2527" width="2.28515625" style="48" customWidth="1"/>
    <col min="2528" max="2528" width="14.5703125" style="48" customWidth="1"/>
    <col min="2529" max="2529" width="2.28515625" style="48" customWidth="1"/>
    <col min="2530" max="2530" width="14.5703125" style="48" customWidth="1"/>
    <col min="2531" max="2531" width="2.28515625" style="48" customWidth="1"/>
    <col min="2532" max="2775" width="11.42578125" style="48"/>
    <col min="2776" max="2776" width="44.85546875" style="48" customWidth="1"/>
    <col min="2777" max="2777" width="12.5703125" style="48" customWidth="1"/>
    <col min="2778" max="2780" width="0" style="48" hidden="1" customWidth="1"/>
    <col min="2781" max="2783" width="2.28515625" style="48" customWidth="1"/>
    <col min="2784" max="2784" width="14.5703125" style="48" customWidth="1"/>
    <col min="2785" max="2785" width="2.28515625" style="48" customWidth="1"/>
    <col min="2786" max="2786" width="14.5703125" style="48" customWidth="1"/>
    <col min="2787" max="2787" width="2.28515625" style="48" customWidth="1"/>
    <col min="2788" max="3031" width="11.42578125" style="48"/>
    <col min="3032" max="3032" width="44.85546875" style="48" customWidth="1"/>
    <col min="3033" max="3033" width="12.5703125" style="48" customWidth="1"/>
    <col min="3034" max="3036" width="0" style="48" hidden="1" customWidth="1"/>
    <col min="3037" max="3039" width="2.28515625" style="48" customWidth="1"/>
    <col min="3040" max="3040" width="14.5703125" style="48" customWidth="1"/>
    <col min="3041" max="3041" width="2.28515625" style="48" customWidth="1"/>
    <col min="3042" max="3042" width="14.5703125" style="48" customWidth="1"/>
    <col min="3043" max="3043" width="2.28515625" style="48" customWidth="1"/>
    <col min="3044" max="3287" width="11.42578125" style="48"/>
    <col min="3288" max="3288" width="44.85546875" style="48" customWidth="1"/>
    <col min="3289" max="3289" width="12.5703125" style="48" customWidth="1"/>
    <col min="3290" max="3292" width="0" style="48" hidden="1" customWidth="1"/>
    <col min="3293" max="3295" width="2.28515625" style="48" customWidth="1"/>
    <col min="3296" max="3296" width="14.5703125" style="48" customWidth="1"/>
    <col min="3297" max="3297" width="2.28515625" style="48" customWidth="1"/>
    <col min="3298" max="3298" width="14.5703125" style="48" customWidth="1"/>
    <col min="3299" max="3299" width="2.28515625" style="48" customWidth="1"/>
    <col min="3300" max="3543" width="11.42578125" style="48"/>
    <col min="3544" max="3544" width="44.85546875" style="48" customWidth="1"/>
    <col min="3545" max="3545" width="12.5703125" style="48" customWidth="1"/>
    <col min="3546" max="3548" width="0" style="48" hidden="1" customWidth="1"/>
    <col min="3549" max="3551" width="2.28515625" style="48" customWidth="1"/>
    <col min="3552" max="3552" width="14.5703125" style="48" customWidth="1"/>
    <col min="3553" max="3553" width="2.28515625" style="48" customWidth="1"/>
    <col min="3554" max="3554" width="14.5703125" style="48" customWidth="1"/>
    <col min="3555" max="3555" width="2.28515625" style="48" customWidth="1"/>
    <col min="3556" max="3799" width="11.42578125" style="48"/>
    <col min="3800" max="3800" width="44.85546875" style="48" customWidth="1"/>
    <col min="3801" max="3801" width="12.5703125" style="48" customWidth="1"/>
    <col min="3802" max="3804" width="0" style="48" hidden="1" customWidth="1"/>
    <col min="3805" max="3807" width="2.28515625" style="48" customWidth="1"/>
    <col min="3808" max="3808" width="14.5703125" style="48" customWidth="1"/>
    <col min="3809" max="3809" width="2.28515625" style="48" customWidth="1"/>
    <col min="3810" max="3810" width="14.5703125" style="48" customWidth="1"/>
    <col min="3811" max="3811" width="2.28515625" style="48" customWidth="1"/>
    <col min="3812" max="4055" width="11.42578125" style="48"/>
    <col min="4056" max="4056" width="44.85546875" style="48" customWidth="1"/>
    <col min="4057" max="4057" width="12.5703125" style="48" customWidth="1"/>
    <col min="4058" max="4060" width="0" style="48" hidden="1" customWidth="1"/>
    <col min="4061" max="4063" width="2.28515625" style="48" customWidth="1"/>
    <col min="4064" max="4064" width="14.5703125" style="48" customWidth="1"/>
    <col min="4065" max="4065" width="2.28515625" style="48" customWidth="1"/>
    <col min="4066" max="4066" width="14.5703125" style="48" customWidth="1"/>
    <col min="4067" max="4067" width="2.28515625" style="48" customWidth="1"/>
    <col min="4068" max="4311" width="11.42578125" style="48"/>
    <col min="4312" max="4312" width="44.85546875" style="48" customWidth="1"/>
    <col min="4313" max="4313" width="12.5703125" style="48" customWidth="1"/>
    <col min="4314" max="4316" width="0" style="48" hidden="1" customWidth="1"/>
    <col min="4317" max="4319" width="2.28515625" style="48" customWidth="1"/>
    <col min="4320" max="4320" width="14.5703125" style="48" customWidth="1"/>
    <col min="4321" max="4321" width="2.28515625" style="48" customWidth="1"/>
    <col min="4322" max="4322" width="14.5703125" style="48" customWidth="1"/>
    <col min="4323" max="4323" width="2.28515625" style="48" customWidth="1"/>
    <col min="4324" max="4567" width="11.42578125" style="48"/>
    <col min="4568" max="4568" width="44.85546875" style="48" customWidth="1"/>
    <col min="4569" max="4569" width="12.5703125" style="48" customWidth="1"/>
    <col min="4570" max="4572" width="0" style="48" hidden="1" customWidth="1"/>
    <col min="4573" max="4575" width="2.28515625" style="48" customWidth="1"/>
    <col min="4576" max="4576" width="14.5703125" style="48" customWidth="1"/>
    <col min="4577" max="4577" width="2.28515625" style="48" customWidth="1"/>
    <col min="4578" max="4578" width="14.5703125" style="48" customWidth="1"/>
    <col min="4579" max="4579" width="2.28515625" style="48" customWidth="1"/>
    <col min="4580" max="4823" width="11.42578125" style="48"/>
    <col min="4824" max="4824" width="44.85546875" style="48" customWidth="1"/>
    <col min="4825" max="4825" width="12.5703125" style="48" customWidth="1"/>
    <col min="4826" max="4828" width="0" style="48" hidden="1" customWidth="1"/>
    <col min="4829" max="4831" width="2.28515625" style="48" customWidth="1"/>
    <col min="4832" max="4832" width="14.5703125" style="48" customWidth="1"/>
    <col min="4833" max="4833" width="2.28515625" style="48" customWidth="1"/>
    <col min="4834" max="4834" width="14.5703125" style="48" customWidth="1"/>
    <col min="4835" max="4835" width="2.28515625" style="48" customWidth="1"/>
    <col min="4836" max="5079" width="11.42578125" style="48"/>
    <col min="5080" max="5080" width="44.85546875" style="48" customWidth="1"/>
    <col min="5081" max="5081" width="12.5703125" style="48" customWidth="1"/>
    <col min="5082" max="5084" width="0" style="48" hidden="1" customWidth="1"/>
    <col min="5085" max="5087" width="2.28515625" style="48" customWidth="1"/>
    <col min="5088" max="5088" width="14.5703125" style="48" customWidth="1"/>
    <col min="5089" max="5089" width="2.28515625" style="48" customWidth="1"/>
    <col min="5090" max="5090" width="14.5703125" style="48" customWidth="1"/>
    <col min="5091" max="5091" width="2.28515625" style="48" customWidth="1"/>
    <col min="5092" max="5335" width="11.42578125" style="48"/>
    <col min="5336" max="5336" width="44.85546875" style="48" customWidth="1"/>
    <col min="5337" max="5337" width="12.5703125" style="48" customWidth="1"/>
    <col min="5338" max="5340" width="0" style="48" hidden="1" customWidth="1"/>
    <col min="5341" max="5343" width="2.28515625" style="48" customWidth="1"/>
    <col min="5344" max="5344" width="14.5703125" style="48" customWidth="1"/>
    <col min="5345" max="5345" width="2.28515625" style="48" customWidth="1"/>
    <col min="5346" max="5346" width="14.5703125" style="48" customWidth="1"/>
    <col min="5347" max="5347" width="2.28515625" style="48" customWidth="1"/>
    <col min="5348" max="5591" width="11.42578125" style="48"/>
    <col min="5592" max="5592" width="44.85546875" style="48" customWidth="1"/>
    <col min="5593" max="5593" width="12.5703125" style="48" customWidth="1"/>
    <col min="5594" max="5596" width="0" style="48" hidden="1" customWidth="1"/>
    <col min="5597" max="5599" width="2.28515625" style="48" customWidth="1"/>
    <col min="5600" max="5600" width="14.5703125" style="48" customWidth="1"/>
    <col min="5601" max="5601" width="2.28515625" style="48" customWidth="1"/>
    <col min="5602" max="5602" width="14.5703125" style="48" customWidth="1"/>
    <col min="5603" max="5603" width="2.28515625" style="48" customWidth="1"/>
    <col min="5604" max="5847" width="11.42578125" style="48"/>
    <col min="5848" max="5848" width="44.85546875" style="48" customWidth="1"/>
    <col min="5849" max="5849" width="12.5703125" style="48" customWidth="1"/>
    <col min="5850" max="5852" width="0" style="48" hidden="1" customWidth="1"/>
    <col min="5853" max="5855" width="2.28515625" style="48" customWidth="1"/>
    <col min="5856" max="5856" width="14.5703125" style="48" customWidth="1"/>
    <col min="5857" max="5857" width="2.28515625" style="48" customWidth="1"/>
    <col min="5858" max="5858" width="14.5703125" style="48" customWidth="1"/>
    <col min="5859" max="5859" width="2.28515625" style="48" customWidth="1"/>
    <col min="5860" max="6103" width="11.42578125" style="48"/>
    <col min="6104" max="6104" width="44.85546875" style="48" customWidth="1"/>
    <col min="6105" max="6105" width="12.5703125" style="48" customWidth="1"/>
    <col min="6106" max="6108" width="0" style="48" hidden="1" customWidth="1"/>
    <col min="6109" max="6111" width="2.28515625" style="48" customWidth="1"/>
    <col min="6112" max="6112" width="14.5703125" style="48" customWidth="1"/>
    <col min="6113" max="6113" width="2.28515625" style="48" customWidth="1"/>
    <col min="6114" max="6114" width="14.5703125" style="48" customWidth="1"/>
    <col min="6115" max="6115" width="2.28515625" style="48" customWidth="1"/>
    <col min="6116" max="6359" width="11.42578125" style="48"/>
    <col min="6360" max="6360" width="44.85546875" style="48" customWidth="1"/>
    <col min="6361" max="6361" width="12.5703125" style="48" customWidth="1"/>
    <col min="6362" max="6364" width="0" style="48" hidden="1" customWidth="1"/>
    <col min="6365" max="6367" width="2.28515625" style="48" customWidth="1"/>
    <col min="6368" max="6368" width="14.5703125" style="48" customWidth="1"/>
    <col min="6369" max="6369" width="2.28515625" style="48" customWidth="1"/>
    <col min="6370" max="6370" width="14.5703125" style="48" customWidth="1"/>
    <col min="6371" max="6371" width="2.28515625" style="48" customWidth="1"/>
    <col min="6372" max="6615" width="11.42578125" style="48"/>
    <col min="6616" max="6616" width="44.85546875" style="48" customWidth="1"/>
    <col min="6617" max="6617" width="12.5703125" style="48" customWidth="1"/>
    <col min="6618" max="6620" width="0" style="48" hidden="1" customWidth="1"/>
    <col min="6621" max="6623" width="2.28515625" style="48" customWidth="1"/>
    <col min="6624" max="6624" width="14.5703125" style="48" customWidth="1"/>
    <col min="6625" max="6625" width="2.28515625" style="48" customWidth="1"/>
    <col min="6626" max="6626" width="14.5703125" style="48" customWidth="1"/>
    <col min="6627" max="6627" width="2.28515625" style="48" customWidth="1"/>
    <col min="6628" max="6871" width="11.42578125" style="48"/>
    <col min="6872" max="6872" width="44.85546875" style="48" customWidth="1"/>
    <col min="6873" max="6873" width="12.5703125" style="48" customWidth="1"/>
    <col min="6874" max="6876" width="0" style="48" hidden="1" customWidth="1"/>
    <col min="6877" max="6879" width="2.28515625" style="48" customWidth="1"/>
    <col min="6880" max="6880" width="14.5703125" style="48" customWidth="1"/>
    <col min="6881" max="6881" width="2.28515625" style="48" customWidth="1"/>
    <col min="6882" max="6882" width="14.5703125" style="48" customWidth="1"/>
    <col min="6883" max="6883" width="2.28515625" style="48" customWidth="1"/>
    <col min="6884" max="7127" width="11.42578125" style="48"/>
    <col min="7128" max="7128" width="44.85546875" style="48" customWidth="1"/>
    <col min="7129" max="7129" width="12.5703125" style="48" customWidth="1"/>
    <col min="7130" max="7132" width="0" style="48" hidden="1" customWidth="1"/>
    <col min="7133" max="7135" width="2.28515625" style="48" customWidth="1"/>
    <col min="7136" max="7136" width="14.5703125" style="48" customWidth="1"/>
    <col min="7137" max="7137" width="2.28515625" style="48" customWidth="1"/>
    <col min="7138" max="7138" width="14.5703125" style="48" customWidth="1"/>
    <col min="7139" max="7139" width="2.28515625" style="48" customWidth="1"/>
    <col min="7140" max="7383" width="11.42578125" style="48"/>
    <col min="7384" max="7384" width="44.85546875" style="48" customWidth="1"/>
    <col min="7385" max="7385" width="12.5703125" style="48" customWidth="1"/>
    <col min="7386" max="7388" width="0" style="48" hidden="1" customWidth="1"/>
    <col min="7389" max="7391" width="2.28515625" style="48" customWidth="1"/>
    <col min="7392" max="7392" width="14.5703125" style="48" customWidth="1"/>
    <col min="7393" max="7393" width="2.28515625" style="48" customWidth="1"/>
    <col min="7394" max="7394" width="14.5703125" style="48" customWidth="1"/>
    <col min="7395" max="7395" width="2.28515625" style="48" customWidth="1"/>
    <col min="7396" max="7639" width="11.42578125" style="48"/>
    <col min="7640" max="7640" width="44.85546875" style="48" customWidth="1"/>
    <col min="7641" max="7641" width="12.5703125" style="48" customWidth="1"/>
    <col min="7642" max="7644" width="0" style="48" hidden="1" customWidth="1"/>
    <col min="7645" max="7647" width="2.28515625" style="48" customWidth="1"/>
    <col min="7648" max="7648" width="14.5703125" style="48" customWidth="1"/>
    <col min="7649" max="7649" width="2.28515625" style="48" customWidth="1"/>
    <col min="7650" max="7650" width="14.5703125" style="48" customWidth="1"/>
    <col min="7651" max="7651" width="2.28515625" style="48" customWidth="1"/>
    <col min="7652" max="7895" width="11.42578125" style="48"/>
    <col min="7896" max="7896" width="44.85546875" style="48" customWidth="1"/>
    <col min="7897" max="7897" width="12.5703125" style="48" customWidth="1"/>
    <col min="7898" max="7900" width="0" style="48" hidden="1" customWidth="1"/>
    <col min="7901" max="7903" width="2.28515625" style="48" customWidth="1"/>
    <col min="7904" max="7904" width="14.5703125" style="48" customWidth="1"/>
    <col min="7905" max="7905" width="2.28515625" style="48" customWidth="1"/>
    <col min="7906" max="7906" width="14.5703125" style="48" customWidth="1"/>
    <col min="7907" max="7907" width="2.28515625" style="48" customWidth="1"/>
    <col min="7908" max="8151" width="11.42578125" style="48"/>
    <col min="8152" max="8152" width="44.85546875" style="48" customWidth="1"/>
    <col min="8153" max="8153" width="12.5703125" style="48" customWidth="1"/>
    <col min="8154" max="8156" width="0" style="48" hidden="1" customWidth="1"/>
    <col min="8157" max="8159" width="2.28515625" style="48" customWidth="1"/>
    <col min="8160" max="8160" width="14.5703125" style="48" customWidth="1"/>
    <col min="8161" max="8161" width="2.28515625" style="48" customWidth="1"/>
    <col min="8162" max="8162" width="14.5703125" style="48" customWidth="1"/>
    <col min="8163" max="8163" width="2.28515625" style="48" customWidth="1"/>
    <col min="8164" max="8407" width="11.42578125" style="48"/>
    <col min="8408" max="8408" width="44.85546875" style="48" customWidth="1"/>
    <col min="8409" max="8409" width="12.5703125" style="48" customWidth="1"/>
    <col min="8410" max="8412" width="0" style="48" hidden="1" customWidth="1"/>
    <col min="8413" max="8415" width="2.28515625" style="48" customWidth="1"/>
    <col min="8416" max="8416" width="14.5703125" style="48" customWidth="1"/>
    <col min="8417" max="8417" width="2.28515625" style="48" customWidth="1"/>
    <col min="8418" max="8418" width="14.5703125" style="48" customWidth="1"/>
    <col min="8419" max="8419" width="2.28515625" style="48" customWidth="1"/>
    <col min="8420" max="8663" width="11.42578125" style="48"/>
    <col min="8664" max="8664" width="44.85546875" style="48" customWidth="1"/>
    <col min="8665" max="8665" width="12.5703125" style="48" customWidth="1"/>
    <col min="8666" max="8668" width="0" style="48" hidden="1" customWidth="1"/>
    <col min="8669" max="8671" width="2.28515625" style="48" customWidth="1"/>
    <col min="8672" max="8672" width="14.5703125" style="48" customWidth="1"/>
    <col min="8673" max="8673" width="2.28515625" style="48" customWidth="1"/>
    <col min="8674" max="8674" width="14.5703125" style="48" customWidth="1"/>
    <col min="8675" max="8675" width="2.28515625" style="48" customWidth="1"/>
    <col min="8676" max="8919" width="11.42578125" style="48"/>
    <col min="8920" max="8920" width="44.85546875" style="48" customWidth="1"/>
    <col min="8921" max="8921" width="12.5703125" style="48" customWidth="1"/>
    <col min="8922" max="8924" width="0" style="48" hidden="1" customWidth="1"/>
    <col min="8925" max="8927" width="2.28515625" style="48" customWidth="1"/>
    <col min="8928" max="8928" width="14.5703125" style="48" customWidth="1"/>
    <col min="8929" max="8929" width="2.28515625" style="48" customWidth="1"/>
    <col min="8930" max="8930" width="14.5703125" style="48" customWidth="1"/>
    <col min="8931" max="8931" width="2.28515625" style="48" customWidth="1"/>
    <col min="8932" max="9175" width="11.42578125" style="48"/>
    <col min="9176" max="9176" width="44.85546875" style="48" customWidth="1"/>
    <col min="9177" max="9177" width="12.5703125" style="48" customWidth="1"/>
    <col min="9178" max="9180" width="0" style="48" hidden="1" customWidth="1"/>
    <col min="9181" max="9183" width="2.28515625" style="48" customWidth="1"/>
    <col min="9184" max="9184" width="14.5703125" style="48" customWidth="1"/>
    <col min="9185" max="9185" width="2.28515625" style="48" customWidth="1"/>
    <col min="9186" max="9186" width="14.5703125" style="48" customWidth="1"/>
    <col min="9187" max="9187" width="2.28515625" style="48" customWidth="1"/>
    <col min="9188" max="9431" width="11.42578125" style="48"/>
    <col min="9432" max="9432" width="44.85546875" style="48" customWidth="1"/>
    <col min="9433" max="9433" width="12.5703125" style="48" customWidth="1"/>
    <col min="9434" max="9436" width="0" style="48" hidden="1" customWidth="1"/>
    <col min="9437" max="9439" width="2.28515625" style="48" customWidth="1"/>
    <col min="9440" max="9440" width="14.5703125" style="48" customWidth="1"/>
    <col min="9441" max="9441" width="2.28515625" style="48" customWidth="1"/>
    <col min="9442" max="9442" width="14.5703125" style="48" customWidth="1"/>
    <col min="9443" max="9443" width="2.28515625" style="48" customWidth="1"/>
    <col min="9444" max="9687" width="11.42578125" style="48"/>
    <col min="9688" max="9688" width="44.85546875" style="48" customWidth="1"/>
    <col min="9689" max="9689" width="12.5703125" style="48" customWidth="1"/>
    <col min="9690" max="9692" width="0" style="48" hidden="1" customWidth="1"/>
    <col min="9693" max="9695" width="2.28515625" style="48" customWidth="1"/>
    <col min="9696" max="9696" width="14.5703125" style="48" customWidth="1"/>
    <col min="9697" max="9697" width="2.28515625" style="48" customWidth="1"/>
    <col min="9698" max="9698" width="14.5703125" style="48" customWidth="1"/>
    <col min="9699" max="9699" width="2.28515625" style="48" customWidth="1"/>
    <col min="9700" max="9943" width="11.42578125" style="48"/>
    <col min="9944" max="9944" width="44.85546875" style="48" customWidth="1"/>
    <col min="9945" max="9945" width="12.5703125" style="48" customWidth="1"/>
    <col min="9946" max="9948" width="0" style="48" hidden="1" customWidth="1"/>
    <col min="9949" max="9951" width="2.28515625" style="48" customWidth="1"/>
    <col min="9952" max="9952" width="14.5703125" style="48" customWidth="1"/>
    <col min="9953" max="9953" width="2.28515625" style="48" customWidth="1"/>
    <col min="9954" max="9954" width="14.5703125" style="48" customWidth="1"/>
    <col min="9955" max="9955" width="2.28515625" style="48" customWidth="1"/>
    <col min="9956" max="10199" width="11.42578125" style="48"/>
    <col min="10200" max="10200" width="44.85546875" style="48" customWidth="1"/>
    <col min="10201" max="10201" width="12.5703125" style="48" customWidth="1"/>
    <col min="10202" max="10204" width="0" style="48" hidden="1" customWidth="1"/>
    <col min="10205" max="10207" width="2.28515625" style="48" customWidth="1"/>
    <col min="10208" max="10208" width="14.5703125" style="48" customWidth="1"/>
    <col min="10209" max="10209" width="2.28515625" style="48" customWidth="1"/>
    <col min="10210" max="10210" width="14.5703125" style="48" customWidth="1"/>
    <col min="10211" max="10211" width="2.28515625" style="48" customWidth="1"/>
    <col min="10212" max="10455" width="11.42578125" style="48"/>
    <col min="10456" max="10456" width="44.85546875" style="48" customWidth="1"/>
    <col min="10457" max="10457" width="12.5703125" style="48" customWidth="1"/>
    <col min="10458" max="10460" width="0" style="48" hidden="1" customWidth="1"/>
    <col min="10461" max="10463" width="2.28515625" style="48" customWidth="1"/>
    <col min="10464" max="10464" width="14.5703125" style="48" customWidth="1"/>
    <col min="10465" max="10465" width="2.28515625" style="48" customWidth="1"/>
    <col min="10466" max="10466" width="14.5703125" style="48" customWidth="1"/>
    <col min="10467" max="10467" width="2.28515625" style="48" customWidth="1"/>
    <col min="10468" max="10711" width="11.42578125" style="48"/>
    <col min="10712" max="10712" width="44.85546875" style="48" customWidth="1"/>
    <col min="10713" max="10713" width="12.5703125" style="48" customWidth="1"/>
    <col min="10714" max="10716" width="0" style="48" hidden="1" customWidth="1"/>
    <col min="10717" max="10719" width="2.28515625" style="48" customWidth="1"/>
    <col min="10720" max="10720" width="14.5703125" style="48" customWidth="1"/>
    <col min="10721" max="10721" width="2.28515625" style="48" customWidth="1"/>
    <col min="10722" max="10722" width="14.5703125" style="48" customWidth="1"/>
    <col min="10723" max="10723" width="2.28515625" style="48" customWidth="1"/>
    <col min="10724" max="10967" width="11.42578125" style="48"/>
    <col min="10968" max="10968" width="44.85546875" style="48" customWidth="1"/>
    <col min="10969" max="10969" width="12.5703125" style="48" customWidth="1"/>
    <col min="10970" max="10972" width="0" style="48" hidden="1" customWidth="1"/>
    <col min="10973" max="10975" width="2.28515625" style="48" customWidth="1"/>
    <col min="10976" max="10976" width="14.5703125" style="48" customWidth="1"/>
    <col min="10977" max="10977" width="2.28515625" style="48" customWidth="1"/>
    <col min="10978" max="10978" width="14.5703125" style="48" customWidth="1"/>
    <col min="10979" max="10979" width="2.28515625" style="48" customWidth="1"/>
    <col min="10980" max="11223" width="11.42578125" style="48"/>
    <col min="11224" max="11224" width="44.85546875" style="48" customWidth="1"/>
    <col min="11225" max="11225" width="12.5703125" style="48" customWidth="1"/>
    <col min="11226" max="11228" width="0" style="48" hidden="1" customWidth="1"/>
    <col min="11229" max="11231" width="2.28515625" style="48" customWidth="1"/>
    <col min="11232" max="11232" width="14.5703125" style="48" customWidth="1"/>
    <col min="11233" max="11233" width="2.28515625" style="48" customWidth="1"/>
    <col min="11234" max="11234" width="14.5703125" style="48" customWidth="1"/>
    <col min="11235" max="11235" width="2.28515625" style="48" customWidth="1"/>
    <col min="11236" max="11479" width="11.42578125" style="48"/>
    <col min="11480" max="11480" width="44.85546875" style="48" customWidth="1"/>
    <col min="11481" max="11481" width="12.5703125" style="48" customWidth="1"/>
    <col min="11482" max="11484" width="0" style="48" hidden="1" customWidth="1"/>
    <col min="11485" max="11487" width="2.28515625" style="48" customWidth="1"/>
    <col min="11488" max="11488" width="14.5703125" style="48" customWidth="1"/>
    <col min="11489" max="11489" width="2.28515625" style="48" customWidth="1"/>
    <col min="11490" max="11490" width="14.5703125" style="48" customWidth="1"/>
    <col min="11491" max="11491" width="2.28515625" style="48" customWidth="1"/>
    <col min="11492" max="11735" width="11.42578125" style="48"/>
    <col min="11736" max="11736" width="44.85546875" style="48" customWidth="1"/>
    <col min="11737" max="11737" width="12.5703125" style="48" customWidth="1"/>
    <col min="11738" max="11740" width="0" style="48" hidden="1" customWidth="1"/>
    <col min="11741" max="11743" width="2.28515625" style="48" customWidth="1"/>
    <col min="11744" max="11744" width="14.5703125" style="48" customWidth="1"/>
    <col min="11745" max="11745" width="2.28515625" style="48" customWidth="1"/>
    <col min="11746" max="11746" width="14.5703125" style="48" customWidth="1"/>
    <col min="11747" max="11747" width="2.28515625" style="48" customWidth="1"/>
    <col min="11748" max="11991" width="11.42578125" style="48"/>
    <col min="11992" max="11992" width="44.85546875" style="48" customWidth="1"/>
    <col min="11993" max="11993" width="12.5703125" style="48" customWidth="1"/>
    <col min="11994" max="11996" width="0" style="48" hidden="1" customWidth="1"/>
    <col min="11997" max="11999" width="2.28515625" style="48" customWidth="1"/>
    <col min="12000" max="12000" width="14.5703125" style="48" customWidth="1"/>
    <col min="12001" max="12001" width="2.28515625" style="48" customWidth="1"/>
    <col min="12002" max="12002" width="14.5703125" style="48" customWidth="1"/>
    <col min="12003" max="12003" width="2.28515625" style="48" customWidth="1"/>
    <col min="12004" max="12247" width="11.42578125" style="48"/>
    <col min="12248" max="12248" width="44.85546875" style="48" customWidth="1"/>
    <col min="12249" max="12249" width="12.5703125" style="48" customWidth="1"/>
    <col min="12250" max="12252" width="0" style="48" hidden="1" customWidth="1"/>
    <col min="12253" max="12255" width="2.28515625" style="48" customWidth="1"/>
    <col min="12256" max="12256" width="14.5703125" style="48" customWidth="1"/>
    <col min="12257" max="12257" width="2.28515625" style="48" customWidth="1"/>
    <col min="12258" max="12258" width="14.5703125" style="48" customWidth="1"/>
    <col min="12259" max="12259" width="2.28515625" style="48" customWidth="1"/>
    <col min="12260" max="12503" width="11.42578125" style="48"/>
    <col min="12504" max="12504" width="44.85546875" style="48" customWidth="1"/>
    <col min="12505" max="12505" width="12.5703125" style="48" customWidth="1"/>
    <col min="12506" max="12508" width="0" style="48" hidden="1" customWidth="1"/>
    <col min="12509" max="12511" width="2.28515625" style="48" customWidth="1"/>
    <col min="12512" max="12512" width="14.5703125" style="48" customWidth="1"/>
    <col min="12513" max="12513" width="2.28515625" style="48" customWidth="1"/>
    <col min="12514" max="12514" width="14.5703125" style="48" customWidth="1"/>
    <col min="12515" max="12515" width="2.28515625" style="48" customWidth="1"/>
    <col min="12516" max="12759" width="11.42578125" style="48"/>
    <col min="12760" max="12760" width="44.85546875" style="48" customWidth="1"/>
    <col min="12761" max="12761" width="12.5703125" style="48" customWidth="1"/>
    <col min="12762" max="12764" width="0" style="48" hidden="1" customWidth="1"/>
    <col min="12765" max="12767" width="2.28515625" style="48" customWidth="1"/>
    <col min="12768" max="12768" width="14.5703125" style="48" customWidth="1"/>
    <col min="12769" max="12769" width="2.28515625" style="48" customWidth="1"/>
    <col min="12770" max="12770" width="14.5703125" style="48" customWidth="1"/>
    <col min="12771" max="12771" width="2.28515625" style="48" customWidth="1"/>
    <col min="12772" max="13015" width="11.42578125" style="48"/>
    <col min="13016" max="13016" width="44.85546875" style="48" customWidth="1"/>
    <col min="13017" max="13017" width="12.5703125" style="48" customWidth="1"/>
    <col min="13018" max="13020" width="0" style="48" hidden="1" customWidth="1"/>
    <col min="13021" max="13023" width="2.28515625" style="48" customWidth="1"/>
    <col min="13024" max="13024" width="14.5703125" style="48" customWidth="1"/>
    <col min="13025" max="13025" width="2.28515625" style="48" customWidth="1"/>
    <col min="13026" max="13026" width="14.5703125" style="48" customWidth="1"/>
    <col min="13027" max="13027" width="2.28515625" style="48" customWidth="1"/>
    <col min="13028" max="13271" width="11.42578125" style="48"/>
    <col min="13272" max="13272" width="44.85546875" style="48" customWidth="1"/>
    <col min="13273" max="13273" width="12.5703125" style="48" customWidth="1"/>
    <col min="13274" max="13276" width="0" style="48" hidden="1" customWidth="1"/>
    <col min="13277" max="13279" width="2.28515625" style="48" customWidth="1"/>
    <col min="13280" max="13280" width="14.5703125" style="48" customWidth="1"/>
    <col min="13281" max="13281" width="2.28515625" style="48" customWidth="1"/>
    <col min="13282" max="13282" width="14.5703125" style="48" customWidth="1"/>
    <col min="13283" max="13283" width="2.28515625" style="48" customWidth="1"/>
    <col min="13284" max="13527" width="11.42578125" style="48"/>
    <col min="13528" max="13528" width="44.85546875" style="48" customWidth="1"/>
    <col min="13529" max="13529" width="12.5703125" style="48" customWidth="1"/>
    <col min="13530" max="13532" width="0" style="48" hidden="1" customWidth="1"/>
    <col min="13533" max="13535" width="2.28515625" style="48" customWidth="1"/>
    <col min="13536" max="13536" width="14.5703125" style="48" customWidth="1"/>
    <col min="13537" max="13537" width="2.28515625" style="48" customWidth="1"/>
    <col min="13538" max="13538" width="14.5703125" style="48" customWidth="1"/>
    <col min="13539" max="13539" width="2.28515625" style="48" customWidth="1"/>
    <col min="13540" max="13783" width="11.42578125" style="48"/>
    <col min="13784" max="13784" width="44.85546875" style="48" customWidth="1"/>
    <col min="13785" max="13785" width="12.5703125" style="48" customWidth="1"/>
    <col min="13786" max="13788" width="0" style="48" hidden="1" customWidth="1"/>
    <col min="13789" max="13791" width="2.28515625" style="48" customWidth="1"/>
    <col min="13792" max="13792" width="14.5703125" style="48" customWidth="1"/>
    <col min="13793" max="13793" width="2.28515625" style="48" customWidth="1"/>
    <col min="13794" max="13794" width="14.5703125" style="48" customWidth="1"/>
    <col min="13795" max="13795" width="2.28515625" style="48" customWidth="1"/>
    <col min="13796" max="14039" width="11.42578125" style="48"/>
    <col min="14040" max="14040" width="44.85546875" style="48" customWidth="1"/>
    <col min="14041" max="14041" width="12.5703125" style="48" customWidth="1"/>
    <col min="14042" max="14044" width="0" style="48" hidden="1" customWidth="1"/>
    <col min="14045" max="14047" width="2.28515625" style="48" customWidth="1"/>
    <col min="14048" max="14048" width="14.5703125" style="48" customWidth="1"/>
    <col min="14049" max="14049" width="2.28515625" style="48" customWidth="1"/>
    <col min="14050" max="14050" width="14.5703125" style="48" customWidth="1"/>
    <col min="14051" max="14051" width="2.28515625" style="48" customWidth="1"/>
    <col min="14052" max="14295" width="11.42578125" style="48"/>
    <col min="14296" max="14296" width="44.85546875" style="48" customWidth="1"/>
    <col min="14297" max="14297" width="12.5703125" style="48" customWidth="1"/>
    <col min="14298" max="14300" width="0" style="48" hidden="1" customWidth="1"/>
    <col min="14301" max="14303" width="2.28515625" style="48" customWidth="1"/>
    <col min="14304" max="14304" width="14.5703125" style="48" customWidth="1"/>
    <col min="14305" max="14305" width="2.28515625" style="48" customWidth="1"/>
    <col min="14306" max="14306" width="14.5703125" style="48" customWidth="1"/>
    <col min="14307" max="14307" width="2.28515625" style="48" customWidth="1"/>
    <col min="14308" max="14551" width="11.42578125" style="48"/>
    <col min="14552" max="14552" width="44.85546875" style="48" customWidth="1"/>
    <col min="14553" max="14553" width="12.5703125" style="48" customWidth="1"/>
    <col min="14554" max="14556" width="0" style="48" hidden="1" customWidth="1"/>
    <col min="14557" max="14559" width="2.28515625" style="48" customWidth="1"/>
    <col min="14560" max="14560" width="14.5703125" style="48" customWidth="1"/>
    <col min="14561" max="14561" width="2.28515625" style="48" customWidth="1"/>
    <col min="14562" max="14562" width="14.5703125" style="48" customWidth="1"/>
    <col min="14563" max="14563" width="2.28515625" style="48" customWidth="1"/>
    <col min="14564" max="14807" width="11.42578125" style="48"/>
    <col min="14808" max="14808" width="44.85546875" style="48" customWidth="1"/>
    <col min="14809" max="14809" width="12.5703125" style="48" customWidth="1"/>
    <col min="14810" max="14812" width="0" style="48" hidden="1" customWidth="1"/>
    <col min="14813" max="14815" width="2.28515625" style="48" customWidth="1"/>
    <col min="14816" max="14816" width="14.5703125" style="48" customWidth="1"/>
    <col min="14817" max="14817" width="2.28515625" style="48" customWidth="1"/>
    <col min="14818" max="14818" width="14.5703125" style="48" customWidth="1"/>
    <col min="14819" max="14819" width="2.28515625" style="48" customWidth="1"/>
    <col min="14820" max="15063" width="11.42578125" style="48"/>
    <col min="15064" max="15064" width="44.85546875" style="48" customWidth="1"/>
    <col min="15065" max="15065" width="12.5703125" style="48" customWidth="1"/>
    <col min="15066" max="15068" width="0" style="48" hidden="1" customWidth="1"/>
    <col min="15069" max="15071" width="2.28515625" style="48" customWidth="1"/>
    <col min="15072" max="15072" width="14.5703125" style="48" customWidth="1"/>
    <col min="15073" max="15073" width="2.28515625" style="48" customWidth="1"/>
    <col min="15074" max="15074" width="14.5703125" style="48" customWidth="1"/>
    <col min="15075" max="15075" width="2.28515625" style="48" customWidth="1"/>
    <col min="15076" max="15319" width="11.42578125" style="48"/>
    <col min="15320" max="15320" width="44.85546875" style="48" customWidth="1"/>
    <col min="15321" max="15321" width="12.5703125" style="48" customWidth="1"/>
    <col min="15322" max="15324" width="0" style="48" hidden="1" customWidth="1"/>
    <col min="15325" max="15327" width="2.28515625" style="48" customWidth="1"/>
    <col min="15328" max="15328" width="14.5703125" style="48" customWidth="1"/>
    <col min="15329" max="15329" width="2.28515625" style="48" customWidth="1"/>
    <col min="15330" max="15330" width="14.5703125" style="48" customWidth="1"/>
    <col min="15331" max="15331" width="2.28515625" style="48" customWidth="1"/>
    <col min="15332" max="15575" width="11.42578125" style="48"/>
    <col min="15576" max="15576" width="44.85546875" style="48" customWidth="1"/>
    <col min="15577" max="15577" width="12.5703125" style="48" customWidth="1"/>
    <col min="15578" max="15580" width="0" style="48" hidden="1" customWidth="1"/>
    <col min="15581" max="15583" width="2.28515625" style="48" customWidth="1"/>
    <col min="15584" max="15584" width="14.5703125" style="48" customWidth="1"/>
    <col min="15585" max="15585" width="2.28515625" style="48" customWidth="1"/>
    <col min="15586" max="15586" width="14.5703125" style="48" customWidth="1"/>
    <col min="15587" max="15587" width="2.28515625" style="48" customWidth="1"/>
    <col min="15588" max="15831" width="11.42578125" style="48"/>
    <col min="15832" max="15832" width="44.85546875" style="48" customWidth="1"/>
    <col min="15833" max="15833" width="12.5703125" style="48" customWidth="1"/>
    <col min="15834" max="15836" width="0" style="48" hidden="1" customWidth="1"/>
    <col min="15837" max="15839" width="2.28515625" style="48" customWidth="1"/>
    <col min="15840" max="15840" width="14.5703125" style="48" customWidth="1"/>
    <col min="15841" max="15841" width="2.28515625" style="48" customWidth="1"/>
    <col min="15842" max="15842" width="14.5703125" style="48" customWidth="1"/>
    <col min="15843" max="15843" width="2.28515625" style="48" customWidth="1"/>
    <col min="15844" max="16087" width="11.42578125" style="48"/>
    <col min="16088" max="16088" width="44.85546875" style="48" customWidth="1"/>
    <col min="16089" max="16089" width="12.5703125" style="48" customWidth="1"/>
    <col min="16090" max="16092" width="0" style="48" hidden="1" customWidth="1"/>
    <col min="16093" max="16095" width="2.28515625" style="48" customWidth="1"/>
    <col min="16096" max="16096" width="14.5703125" style="48" customWidth="1"/>
    <col min="16097" max="16097" width="2.28515625" style="48" customWidth="1"/>
    <col min="16098" max="16098" width="14.5703125" style="48" customWidth="1"/>
    <col min="16099" max="16099" width="2.28515625" style="48" customWidth="1"/>
    <col min="16100" max="16384" width="11.42578125" style="48"/>
  </cols>
  <sheetData>
    <row r="1" spans="1:13" ht="15" hidden="1" customHeight="1" x14ac:dyDescent="0.25"/>
    <row r="2" spans="1:13" ht="15" hidden="1" customHeight="1" x14ac:dyDescent="0.25"/>
    <row r="3" spans="1:13" ht="15" hidden="1" customHeight="1" x14ac:dyDescent="0.25"/>
    <row r="4" spans="1:13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5" hidden="1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5" hidden="1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x14ac:dyDescent="0.25">
      <c r="A8" s="470" t="s">
        <v>0</v>
      </c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9"/>
    </row>
    <row r="9" spans="1:13" x14ac:dyDescent="0.25">
      <c r="A9" s="470" t="s">
        <v>1</v>
      </c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9"/>
    </row>
    <row r="10" spans="1:13" x14ac:dyDescent="0.25">
      <c r="A10" s="247"/>
      <c r="B10" s="247"/>
      <c r="C10" s="247"/>
      <c r="D10" s="247"/>
      <c r="E10" s="247"/>
      <c r="F10" s="247"/>
      <c r="G10" s="247"/>
      <c r="H10" s="247"/>
      <c r="I10" s="247"/>
      <c r="J10" s="49"/>
      <c r="K10" s="247"/>
      <c r="L10" s="49"/>
      <c r="M10" s="247"/>
    </row>
    <row r="11" spans="1:13" x14ac:dyDescent="0.25">
      <c r="A11" s="470" t="s">
        <v>2</v>
      </c>
      <c r="B11" s="470"/>
      <c r="C11" s="470"/>
      <c r="D11" s="470"/>
      <c r="E11" s="470"/>
      <c r="F11" s="470"/>
      <c r="G11" s="470"/>
      <c r="H11" s="470"/>
      <c r="I11" s="470"/>
      <c r="J11" s="470"/>
      <c r="K11" s="470"/>
      <c r="L11" s="470"/>
      <c r="M11" s="49"/>
    </row>
    <row r="12" spans="1:13" x14ac:dyDescent="0.25">
      <c r="A12" s="228"/>
      <c r="B12" s="228"/>
      <c r="C12" s="228"/>
      <c r="D12" s="228"/>
      <c r="E12" s="228"/>
      <c r="F12" s="228"/>
      <c r="G12" s="228"/>
      <c r="H12" s="228"/>
      <c r="I12" s="228"/>
      <c r="J12" s="49"/>
      <c r="K12" s="228"/>
      <c r="L12" s="49"/>
      <c r="M12" s="228"/>
    </row>
    <row r="13" spans="1:13" x14ac:dyDescent="0.25">
      <c r="A13" s="471" t="s">
        <v>1710</v>
      </c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</row>
    <row r="14" spans="1:13" x14ac:dyDescent="0.25">
      <c r="A14" s="474"/>
      <c r="B14" s="474"/>
      <c r="C14" s="474"/>
      <c r="D14" s="474"/>
      <c r="E14" s="474"/>
      <c r="F14" s="474"/>
      <c r="G14" s="474"/>
      <c r="H14" s="474"/>
      <c r="I14" s="474"/>
      <c r="J14" s="474"/>
      <c r="K14" s="474"/>
      <c r="L14" s="474"/>
      <c r="M14" s="474"/>
    </row>
    <row r="15" spans="1:13" x14ac:dyDescent="0.25">
      <c r="A15" s="471" t="s">
        <v>1711</v>
      </c>
      <c r="B15" s="471"/>
      <c r="C15" s="471"/>
      <c r="D15" s="471"/>
      <c r="E15" s="471"/>
      <c r="F15" s="471"/>
      <c r="G15" s="471"/>
      <c r="H15" s="471"/>
      <c r="I15" s="471"/>
      <c r="J15" s="471"/>
      <c r="K15" s="471"/>
      <c r="L15" s="471"/>
      <c r="M15" s="471"/>
    </row>
    <row r="16" spans="1:13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23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119"/>
      <c r="K17" s="250"/>
      <c r="L17" s="251"/>
      <c r="M17" s="49"/>
    </row>
    <row r="18" spans="1:23" x14ac:dyDescent="0.25">
      <c r="A18" s="49"/>
      <c r="B18" s="49"/>
      <c r="C18" s="252" t="s">
        <v>4</v>
      </c>
      <c r="D18" s="49"/>
      <c r="E18" s="253" t="s">
        <v>4</v>
      </c>
      <c r="F18" s="49"/>
      <c r="G18" s="49"/>
      <c r="H18" s="49"/>
      <c r="I18" s="49"/>
      <c r="J18" s="253" t="s">
        <v>1881</v>
      </c>
      <c r="K18" s="49"/>
      <c r="L18" s="254" t="s">
        <v>1881</v>
      </c>
      <c r="M18" s="255"/>
      <c r="N18" s="207"/>
    </row>
    <row r="19" spans="1:23" x14ac:dyDescent="0.25">
      <c r="A19" s="49"/>
      <c r="B19" s="49"/>
      <c r="C19" s="256">
        <v>44835</v>
      </c>
      <c r="D19" s="49"/>
      <c r="E19" s="256">
        <v>44470</v>
      </c>
      <c r="F19" s="49"/>
      <c r="G19" s="49"/>
      <c r="H19" s="49"/>
      <c r="I19" s="49"/>
      <c r="J19" s="256">
        <v>44562</v>
      </c>
      <c r="K19" s="49"/>
      <c r="L19" s="257">
        <v>44197</v>
      </c>
      <c r="M19" s="255"/>
      <c r="N19" s="209"/>
    </row>
    <row r="20" spans="1:23" x14ac:dyDescent="0.25">
      <c r="A20" s="49"/>
      <c r="B20" s="49"/>
      <c r="C20" s="252" t="s">
        <v>5</v>
      </c>
      <c r="D20" s="49"/>
      <c r="E20" s="252" t="s">
        <v>5</v>
      </c>
      <c r="F20" s="49"/>
      <c r="G20" s="49"/>
      <c r="H20" s="49"/>
      <c r="I20" s="49"/>
      <c r="J20" s="252" t="s">
        <v>5</v>
      </c>
      <c r="K20" s="49"/>
      <c r="L20" s="254" t="s">
        <v>5</v>
      </c>
      <c r="M20" s="255"/>
      <c r="N20" s="207"/>
    </row>
    <row r="21" spans="1:23" x14ac:dyDescent="0.25">
      <c r="A21" s="49"/>
      <c r="B21" s="49"/>
      <c r="C21" s="258">
        <v>44926</v>
      </c>
      <c r="D21" s="247"/>
      <c r="E21" s="258">
        <v>44561</v>
      </c>
      <c r="F21" s="247"/>
      <c r="G21" s="247"/>
      <c r="H21" s="247"/>
      <c r="I21" s="247"/>
      <c r="J21" s="258">
        <v>44926</v>
      </c>
      <c r="K21" s="247"/>
      <c r="L21" s="259">
        <v>44561</v>
      </c>
      <c r="M21" s="260"/>
      <c r="N21" s="210"/>
      <c r="V21" s="166"/>
      <c r="W21" s="166"/>
    </row>
    <row r="22" spans="1:23" x14ac:dyDescent="0.25">
      <c r="A22" s="49"/>
      <c r="B22" s="49"/>
      <c r="C22" s="261"/>
      <c r="D22" s="261"/>
      <c r="E22" s="261"/>
      <c r="F22" s="261"/>
      <c r="G22" s="261"/>
      <c r="H22" s="261"/>
      <c r="I22" s="261"/>
      <c r="J22" s="261"/>
      <c r="K22" s="261"/>
      <c r="L22" s="262"/>
      <c r="M22" s="262"/>
      <c r="N22" s="212"/>
      <c r="V22" s="166"/>
      <c r="W22" s="166"/>
    </row>
    <row r="23" spans="1:23" x14ac:dyDescent="0.25">
      <c r="A23" s="49"/>
      <c r="B23" s="248"/>
      <c r="C23" s="263"/>
      <c r="D23" s="263"/>
      <c r="E23" s="263"/>
      <c r="F23" s="263"/>
      <c r="G23" s="248"/>
      <c r="H23" s="248"/>
      <c r="I23" s="248"/>
      <c r="J23" s="263"/>
      <c r="K23" s="248"/>
      <c r="L23" s="264"/>
      <c r="M23" s="265"/>
      <c r="N23" s="214"/>
      <c r="Q23" s="356"/>
      <c r="V23" s="166"/>
      <c r="W23" s="166"/>
    </row>
    <row r="24" spans="1:23" x14ac:dyDescent="0.25">
      <c r="A24" s="266" t="s">
        <v>1715</v>
      </c>
      <c r="B24" s="452" t="s">
        <v>1718</v>
      </c>
      <c r="C24" s="421">
        <v>18657</v>
      </c>
      <c r="D24" s="421"/>
      <c r="E24" s="421">
        <v>15234</v>
      </c>
      <c r="F24" s="421"/>
      <c r="G24" s="421"/>
      <c r="H24" s="421"/>
      <c r="I24" s="421"/>
      <c r="J24" s="422">
        <v>61135</v>
      </c>
      <c r="K24" s="421"/>
      <c r="L24" s="421">
        <v>55615</v>
      </c>
      <c r="M24" s="264"/>
      <c r="N24" s="215"/>
      <c r="P24" s="230"/>
      <c r="Q24" s="356"/>
      <c r="R24" s="456"/>
      <c r="V24" s="166"/>
      <c r="W24" s="166"/>
    </row>
    <row r="25" spans="1:23" x14ac:dyDescent="0.25">
      <c r="A25" s="269"/>
      <c r="B25" s="452"/>
      <c r="C25" s="409"/>
      <c r="D25" s="406"/>
      <c r="E25" s="409"/>
      <c r="F25" s="410"/>
      <c r="G25" s="407"/>
      <c r="H25" s="407"/>
      <c r="I25" s="407"/>
      <c r="J25" s="409"/>
      <c r="K25" s="406"/>
      <c r="L25" s="411"/>
      <c r="M25" s="264"/>
      <c r="N25" s="216"/>
      <c r="P25" s="230"/>
      <c r="Q25" s="356"/>
      <c r="R25" s="166"/>
      <c r="V25" s="166"/>
      <c r="W25" s="166"/>
    </row>
    <row r="26" spans="1:23" x14ac:dyDescent="0.25">
      <c r="A26" s="266" t="s">
        <v>1717</v>
      </c>
      <c r="B26" s="452" t="s">
        <v>1722</v>
      </c>
      <c r="C26" s="406">
        <f>-([4]Página1!$H$754-[4]Página1!$I$754)/1000</f>
        <v>-10407.636579999999</v>
      </c>
      <c r="D26" s="406"/>
      <c r="E26" s="406">
        <f>-[5]Página1!$M$755</f>
        <v>-10509.70867</v>
      </c>
      <c r="F26" s="407"/>
      <c r="G26" s="406"/>
      <c r="H26" s="406"/>
      <c r="I26" s="406"/>
      <c r="J26" s="406">
        <f>-([6]Página1!$K$848/1000)</f>
        <v>-39444.532060000005</v>
      </c>
      <c r="K26" s="406"/>
      <c r="L26" s="408">
        <f>-[7]Página1!$M$823</f>
        <v>-39275.240590000001</v>
      </c>
      <c r="M26" s="268"/>
      <c r="N26" s="215"/>
      <c r="P26" s="230"/>
      <c r="Q26" s="356"/>
      <c r="R26" s="134"/>
      <c r="T26" s="69"/>
      <c r="V26" s="166"/>
      <c r="W26" s="166"/>
    </row>
    <row r="27" spans="1:23" x14ac:dyDescent="0.25">
      <c r="A27" s="270"/>
      <c r="B27" s="452"/>
      <c r="C27" s="409"/>
      <c r="D27" s="406"/>
      <c r="E27" s="409"/>
      <c r="F27" s="410"/>
      <c r="G27" s="406"/>
      <c r="H27" s="406"/>
      <c r="I27" s="406"/>
      <c r="J27" s="409"/>
      <c r="K27" s="406"/>
      <c r="L27" s="411"/>
      <c r="M27" s="268"/>
      <c r="N27" s="216"/>
      <c r="P27" s="230"/>
      <c r="Q27" s="356"/>
      <c r="R27" s="166"/>
      <c r="T27" s="69"/>
      <c r="V27" s="166"/>
      <c r="W27" s="194"/>
    </row>
    <row r="28" spans="1:23" x14ac:dyDescent="0.25">
      <c r="A28" s="266" t="s">
        <v>1719</v>
      </c>
      <c r="B28" s="452"/>
      <c r="C28" s="421">
        <f>SUM(C24:C27)</f>
        <v>8249.3634200000015</v>
      </c>
      <c r="D28" s="421"/>
      <c r="E28" s="421">
        <f>SUM(E24:E27)</f>
        <v>4724.29133</v>
      </c>
      <c r="F28" s="421"/>
      <c r="G28" s="421"/>
      <c r="H28" s="421"/>
      <c r="I28" s="421"/>
      <c r="J28" s="421">
        <f>SUM(J24:J27)</f>
        <v>21690.467939999995</v>
      </c>
      <c r="K28" s="421"/>
      <c r="L28" s="422">
        <f>SUM(L24:L27)</f>
        <v>16339.759409999999</v>
      </c>
      <c r="M28" s="268"/>
      <c r="N28" s="215"/>
      <c r="P28" s="230"/>
      <c r="Q28" s="356"/>
      <c r="R28" s="166"/>
      <c r="T28" s="69"/>
      <c r="V28" s="166"/>
      <c r="W28" s="194"/>
    </row>
    <row r="29" spans="1:23" x14ac:dyDescent="0.25">
      <c r="A29" s="270"/>
      <c r="B29" s="452"/>
      <c r="C29" s="421"/>
      <c r="D29" s="421"/>
      <c r="E29" s="421"/>
      <c r="F29" s="421"/>
      <c r="G29" s="421"/>
      <c r="H29" s="421"/>
      <c r="I29" s="421"/>
      <c r="J29" s="421"/>
      <c r="K29" s="421"/>
      <c r="L29" s="421"/>
      <c r="M29" s="268"/>
      <c r="N29" s="216"/>
      <c r="P29" s="230"/>
      <c r="Q29" s="356"/>
      <c r="R29" s="166"/>
      <c r="T29" s="69"/>
      <c r="V29" s="166"/>
      <c r="W29" s="194"/>
    </row>
    <row r="30" spans="1:23" x14ac:dyDescent="0.25">
      <c r="A30" s="266" t="s">
        <v>1720</v>
      </c>
      <c r="B30" s="452"/>
      <c r="C30" s="406">
        <f>(C32+C33)</f>
        <v>-7442.9577300000001</v>
      </c>
      <c r="D30" s="406"/>
      <c r="E30" s="406">
        <f>(E32+E33)</f>
        <v>556.7454800000005</v>
      </c>
      <c r="F30" s="407"/>
      <c r="G30" s="406"/>
      <c r="H30" s="406"/>
      <c r="I30" s="406"/>
      <c r="J30" s="421">
        <f>(J32+J33+J34)</f>
        <v>51087.267070000002</v>
      </c>
      <c r="K30" s="406"/>
      <c r="L30" s="406">
        <f>(L32+L33+L34)</f>
        <v>-16239.498059999998</v>
      </c>
      <c r="M30" s="268"/>
      <c r="N30" s="215"/>
      <c r="P30" s="230"/>
      <c r="Q30" s="231"/>
      <c r="R30" s="166"/>
      <c r="T30" s="69"/>
      <c r="V30" s="166"/>
      <c r="W30" s="194"/>
    </row>
    <row r="31" spans="1:23" x14ac:dyDescent="0.25">
      <c r="A31" s="269"/>
      <c r="B31" s="452"/>
      <c r="C31" s="409"/>
      <c r="D31" s="406"/>
      <c r="E31" s="409"/>
      <c r="F31" s="410"/>
      <c r="G31" s="406"/>
      <c r="H31" s="406"/>
      <c r="I31" s="406"/>
      <c r="J31" s="409"/>
      <c r="K31" s="406"/>
      <c r="L31" s="411"/>
      <c r="M31" s="268"/>
      <c r="N31" s="216"/>
      <c r="T31" s="69"/>
      <c r="V31" s="166"/>
      <c r="W31" s="194"/>
    </row>
    <row r="32" spans="1:23" x14ac:dyDescent="0.25">
      <c r="A32" s="269" t="s">
        <v>1721</v>
      </c>
      <c r="B32" s="452" t="s">
        <v>1724</v>
      </c>
      <c r="C32" s="406">
        <f>-([4]Página1!$H$825-[4]Página1!$I$825)/1000</f>
        <v>-8489.9577300000001</v>
      </c>
      <c r="D32" s="406"/>
      <c r="E32" s="406">
        <f>-[5]Página1!$M$824</f>
        <v>-6942.2545199999995</v>
      </c>
      <c r="F32" s="407"/>
      <c r="G32" s="406"/>
      <c r="H32" s="406"/>
      <c r="I32" s="406"/>
      <c r="J32" s="406">
        <f>-[6]Página1!$K$919/1000</f>
        <v>-29462.732929999998</v>
      </c>
      <c r="K32" s="406"/>
      <c r="L32" s="408">
        <f>-[7]Página1!$M$893</f>
        <v>-26671.498059999998</v>
      </c>
      <c r="M32" s="268"/>
      <c r="N32" s="215"/>
      <c r="Q32" s="166"/>
      <c r="R32" s="166"/>
      <c r="S32" s="166"/>
      <c r="T32" s="194"/>
      <c r="U32" s="166"/>
      <c r="V32" s="166"/>
      <c r="W32" s="194"/>
    </row>
    <row r="33" spans="1:23" x14ac:dyDescent="0.25">
      <c r="A33" s="255" t="s">
        <v>1723</v>
      </c>
      <c r="B33" s="452" t="s">
        <v>1901</v>
      </c>
      <c r="C33" s="406">
        <v>1047</v>
      </c>
      <c r="D33" s="406"/>
      <c r="E33" s="421">
        <v>7499</v>
      </c>
      <c r="F33" s="407"/>
      <c r="G33" s="406"/>
      <c r="H33" s="406"/>
      <c r="I33" s="406"/>
      <c r="J33" s="421">
        <v>80550</v>
      </c>
      <c r="K33" s="406"/>
      <c r="L33" s="422">
        <v>10432</v>
      </c>
      <c r="M33" s="268"/>
      <c r="N33" s="215"/>
      <c r="Q33" s="166"/>
      <c r="R33" s="166"/>
      <c r="S33" s="166"/>
      <c r="T33" s="194"/>
      <c r="U33" s="166"/>
      <c r="V33" s="166"/>
      <c r="W33" s="194"/>
    </row>
    <row r="34" spans="1:23" x14ac:dyDescent="0.25">
      <c r="A34" s="269"/>
      <c r="B34" s="452"/>
      <c r="C34" s="406"/>
      <c r="D34" s="406"/>
      <c r="E34" s="406"/>
      <c r="F34" s="407"/>
      <c r="G34" s="406"/>
      <c r="H34" s="406"/>
      <c r="I34" s="406"/>
      <c r="J34" s="406"/>
      <c r="K34" s="406"/>
      <c r="L34" s="406"/>
      <c r="M34" s="268"/>
      <c r="N34" s="215"/>
      <c r="Q34" s="166"/>
      <c r="R34" s="166"/>
      <c r="S34" s="166"/>
      <c r="T34" s="194"/>
      <c r="U34" s="166"/>
      <c r="V34" s="166"/>
      <c r="W34" s="194"/>
    </row>
    <row r="35" spans="1:23" x14ac:dyDescent="0.25">
      <c r="A35" s="269"/>
      <c r="B35" s="452"/>
      <c r="C35" s="409"/>
      <c r="D35" s="412"/>
      <c r="E35" s="409"/>
      <c r="F35" s="410"/>
      <c r="G35" s="412"/>
      <c r="H35" s="412"/>
      <c r="I35" s="412"/>
      <c r="J35" s="409"/>
      <c r="K35" s="412"/>
      <c r="L35" s="411"/>
      <c r="M35" s="271"/>
      <c r="N35" s="216"/>
      <c r="Q35" s="134"/>
      <c r="R35" s="166"/>
      <c r="S35" s="166"/>
      <c r="T35" s="194"/>
      <c r="U35" s="166"/>
      <c r="V35" s="166"/>
      <c r="W35" s="166"/>
    </row>
    <row r="36" spans="1:23" x14ac:dyDescent="0.25">
      <c r="A36" s="266" t="s">
        <v>1725</v>
      </c>
      <c r="B36" s="452"/>
      <c r="C36" s="409"/>
      <c r="D36" s="406"/>
      <c r="E36" s="409"/>
      <c r="F36" s="410"/>
      <c r="G36" s="406"/>
      <c r="H36" s="406"/>
      <c r="I36" s="406"/>
      <c r="J36" s="409"/>
      <c r="K36" s="406"/>
      <c r="L36" s="411"/>
      <c r="M36" s="268"/>
      <c r="N36" s="216"/>
      <c r="Q36" s="166"/>
      <c r="R36" s="166"/>
      <c r="S36" s="166"/>
      <c r="T36" s="194"/>
      <c r="U36" s="166"/>
      <c r="V36" s="166"/>
      <c r="W36" s="166"/>
    </row>
    <row r="37" spans="1:23" x14ac:dyDescent="0.25">
      <c r="A37" s="266" t="s">
        <v>1380</v>
      </c>
      <c r="B37" s="452"/>
      <c r="C37" s="421">
        <f>C28+C30</f>
        <v>806.40569000000141</v>
      </c>
      <c r="D37" s="406"/>
      <c r="E37" s="421">
        <f>E28+E30</f>
        <v>5281.0368100000005</v>
      </c>
      <c r="F37" s="407"/>
      <c r="G37" s="406"/>
      <c r="H37" s="406"/>
      <c r="I37" s="406"/>
      <c r="J37" s="421">
        <f>J28+J30</f>
        <v>72777.735010000004</v>
      </c>
      <c r="K37" s="406"/>
      <c r="L37" s="422">
        <f>L28+L30</f>
        <v>100.26135000000068</v>
      </c>
      <c r="M37" s="268"/>
      <c r="N37" s="215"/>
      <c r="Q37" s="166"/>
      <c r="R37" s="166"/>
      <c r="S37" s="166"/>
      <c r="T37" s="194"/>
      <c r="U37" s="166"/>
      <c r="V37" s="166"/>
      <c r="W37" s="166"/>
    </row>
    <row r="38" spans="1:23" x14ac:dyDescent="0.25">
      <c r="A38" s="266"/>
      <c r="B38" s="452"/>
      <c r="C38" s="409"/>
      <c r="D38" s="406"/>
      <c r="E38" s="409"/>
      <c r="F38" s="410"/>
      <c r="G38" s="406"/>
      <c r="H38" s="406"/>
      <c r="I38" s="406"/>
      <c r="J38" s="409"/>
      <c r="K38" s="406"/>
      <c r="L38" s="411"/>
      <c r="M38" s="268"/>
      <c r="N38" s="216"/>
      <c r="Q38" s="166"/>
      <c r="R38" s="166"/>
      <c r="S38" s="166"/>
      <c r="T38" s="166"/>
      <c r="U38" s="166"/>
      <c r="V38" s="166"/>
      <c r="W38" s="166"/>
    </row>
    <row r="39" spans="1:23" x14ac:dyDescent="0.25">
      <c r="A39" s="269" t="s">
        <v>1726</v>
      </c>
      <c r="B39" s="452" t="s">
        <v>1902</v>
      </c>
      <c r="C39" s="412">
        <f>([4]Página1!$I$935-[4]Página1!$H$935)/1000</f>
        <v>1268.67136</v>
      </c>
      <c r="D39" s="412"/>
      <c r="E39" s="412">
        <f>[5]Página1!$M$939</f>
        <v>419.00921</v>
      </c>
      <c r="F39" s="413"/>
      <c r="G39" s="412"/>
      <c r="H39" s="412"/>
      <c r="I39" s="412"/>
      <c r="J39" s="412">
        <f>[6]Página1!$K$1031/1000</f>
        <v>4485.1733099999992</v>
      </c>
      <c r="K39" s="412"/>
      <c r="L39" s="412">
        <f>[7]Página1!$M$1010</f>
        <v>847.74361999999996</v>
      </c>
      <c r="M39" s="271"/>
      <c r="N39" s="217"/>
      <c r="Q39" s="166"/>
      <c r="R39" s="134"/>
      <c r="S39" s="166"/>
      <c r="T39" s="194"/>
      <c r="U39" s="166"/>
      <c r="V39" s="166"/>
      <c r="W39" s="166"/>
    </row>
    <row r="40" spans="1:23" x14ac:dyDescent="0.25">
      <c r="A40" s="269" t="s">
        <v>1728</v>
      </c>
      <c r="B40" s="452" t="s">
        <v>1903</v>
      </c>
      <c r="C40" s="412">
        <f>-([4]Página1!$H$927-[4]Página1!$I$927)/1000</f>
        <v>-1008.21361</v>
      </c>
      <c r="D40" s="412"/>
      <c r="E40" s="412">
        <f>-[5]Página1!$M$930</f>
        <v>-2054.0226500000003</v>
      </c>
      <c r="F40" s="413"/>
      <c r="G40" s="412"/>
      <c r="H40" s="412"/>
      <c r="I40" s="412"/>
      <c r="J40" s="412">
        <f>-[6]Página1!$K$1017/1000</f>
        <v>-5462.4564</v>
      </c>
      <c r="K40" s="412"/>
      <c r="L40" s="414">
        <f>-[7]Página1!$M$1001</f>
        <v>-5682.8510500000002</v>
      </c>
      <c r="M40" s="271"/>
      <c r="N40" s="217"/>
      <c r="Q40" s="166"/>
      <c r="R40" s="166"/>
      <c r="S40" s="166"/>
      <c r="T40" s="166"/>
      <c r="U40" s="166"/>
      <c r="V40" s="166"/>
    </row>
    <row r="41" spans="1:23" ht="15" hidden="1" customHeight="1" x14ac:dyDescent="0.25">
      <c r="A41" s="269"/>
      <c r="B41" s="452"/>
      <c r="C41" s="409">
        <v>0</v>
      </c>
      <c r="D41" s="406"/>
      <c r="E41" s="409">
        <v>0</v>
      </c>
      <c r="F41" s="410"/>
      <c r="G41" s="406"/>
      <c r="H41" s="406"/>
      <c r="I41" s="406"/>
      <c r="J41" s="409">
        <v>0</v>
      </c>
      <c r="K41" s="406"/>
      <c r="L41" s="411">
        <v>0</v>
      </c>
      <c r="M41" s="268"/>
      <c r="N41" s="216"/>
      <c r="Q41" s="166"/>
      <c r="R41" s="166"/>
      <c r="S41" s="166"/>
      <c r="T41" s="166"/>
      <c r="U41" s="166"/>
      <c r="V41" s="166"/>
    </row>
    <row r="42" spans="1:23" x14ac:dyDescent="0.25">
      <c r="A42" s="269"/>
      <c r="B42" s="452"/>
      <c r="C42" s="409"/>
      <c r="D42" s="406"/>
      <c r="E42" s="409"/>
      <c r="F42" s="410"/>
      <c r="G42" s="406"/>
      <c r="H42" s="406"/>
      <c r="I42" s="406"/>
      <c r="J42" s="409"/>
      <c r="K42" s="406"/>
      <c r="L42" s="411"/>
      <c r="M42" s="268"/>
      <c r="N42" s="216"/>
      <c r="Q42" s="166"/>
      <c r="R42" s="194"/>
      <c r="S42" s="231"/>
      <c r="T42" s="166"/>
      <c r="U42" s="166"/>
      <c r="V42" s="166"/>
    </row>
    <row r="43" spans="1:23" x14ac:dyDescent="0.25">
      <c r="A43" s="266" t="s">
        <v>1730</v>
      </c>
      <c r="B43" s="452"/>
      <c r="C43" s="421">
        <f>C37+C39+C40</f>
        <v>1066.8634400000017</v>
      </c>
      <c r="D43" s="406"/>
      <c r="E43" s="421">
        <f>E37+E39+E40</f>
        <v>3646.0233700000003</v>
      </c>
      <c r="F43" s="407"/>
      <c r="G43" s="406"/>
      <c r="H43" s="406"/>
      <c r="I43" s="406"/>
      <c r="J43" s="421">
        <f>J37+J39+J40</f>
        <v>71800.451920000007</v>
      </c>
      <c r="K43" s="406"/>
      <c r="L43" s="406">
        <f>L37+L39+L40</f>
        <v>-4734.8460799999993</v>
      </c>
      <c r="M43" s="268"/>
      <c r="N43" s="215"/>
      <c r="Q43" s="166"/>
      <c r="R43" s="166"/>
      <c r="S43" s="166"/>
      <c r="T43" s="166"/>
      <c r="U43" s="166"/>
      <c r="V43" s="166"/>
    </row>
    <row r="44" spans="1:23" x14ac:dyDescent="0.25">
      <c r="A44" s="266"/>
      <c r="B44" s="452"/>
      <c r="C44" s="409">
        <v>0</v>
      </c>
      <c r="D44" s="406"/>
      <c r="E44" s="409">
        <v>0</v>
      </c>
      <c r="F44" s="410"/>
      <c r="G44" s="406"/>
      <c r="H44" s="406"/>
      <c r="I44" s="406"/>
      <c r="J44" s="409">
        <v>0</v>
      </c>
      <c r="K44" s="406"/>
      <c r="L44" s="411">
        <v>0</v>
      </c>
      <c r="M44" s="268"/>
      <c r="N44" s="216"/>
      <c r="Q44" s="166"/>
      <c r="R44" s="166"/>
      <c r="S44" s="166"/>
      <c r="T44" s="166"/>
      <c r="U44" s="166"/>
      <c r="V44" s="166"/>
    </row>
    <row r="45" spans="1:23" ht="16.5" x14ac:dyDescent="0.35">
      <c r="A45" s="266" t="s">
        <v>1930</v>
      </c>
      <c r="B45" s="452"/>
      <c r="C45" s="406">
        <f>C51</f>
        <v>0</v>
      </c>
      <c r="D45" s="415"/>
      <c r="E45" s="406">
        <v>0</v>
      </c>
      <c r="F45" s="407"/>
      <c r="G45" s="415"/>
      <c r="H45" s="415"/>
      <c r="I45" s="415"/>
      <c r="J45" s="406">
        <f>J51</f>
        <v>-17943.956839999999</v>
      </c>
      <c r="K45" s="415"/>
      <c r="L45" s="408">
        <v>0</v>
      </c>
      <c r="M45" s="272"/>
      <c r="N45" s="215"/>
    </row>
    <row r="46" spans="1:23" ht="15" hidden="1" customHeight="1" x14ac:dyDescent="0.25">
      <c r="A46" s="266" t="s">
        <v>1732</v>
      </c>
      <c r="B46" s="453"/>
      <c r="C46" s="416">
        <v>0</v>
      </c>
      <c r="D46" s="406"/>
      <c r="E46" s="416">
        <v>0</v>
      </c>
      <c r="F46" s="417"/>
      <c r="G46" s="406"/>
      <c r="H46" s="406"/>
      <c r="I46" s="406"/>
      <c r="J46" s="416">
        <v>0</v>
      </c>
      <c r="K46" s="406"/>
      <c r="L46" s="418">
        <v>0</v>
      </c>
      <c r="M46" s="268"/>
      <c r="N46" s="219"/>
    </row>
    <row r="47" spans="1:23" ht="15" hidden="1" customHeight="1" x14ac:dyDescent="0.25">
      <c r="A47" s="266" t="s">
        <v>1733</v>
      </c>
      <c r="B47" s="453"/>
      <c r="C47" s="416">
        <v>0</v>
      </c>
      <c r="D47" s="406"/>
      <c r="E47" s="416">
        <v>0</v>
      </c>
      <c r="F47" s="417"/>
      <c r="G47" s="406"/>
      <c r="H47" s="406"/>
      <c r="I47" s="406"/>
      <c r="J47" s="416">
        <v>0</v>
      </c>
      <c r="K47" s="406"/>
      <c r="L47" s="418">
        <v>0</v>
      </c>
      <c r="M47" s="268"/>
      <c r="N47" s="219"/>
    </row>
    <row r="48" spans="1:23" ht="15" hidden="1" customHeight="1" x14ac:dyDescent="0.25">
      <c r="A48" s="270"/>
      <c r="B48" s="452"/>
      <c r="C48" s="409">
        <v>0</v>
      </c>
      <c r="D48" s="406"/>
      <c r="E48" s="409">
        <v>0</v>
      </c>
      <c r="F48" s="410"/>
      <c r="G48" s="406"/>
      <c r="H48" s="406"/>
      <c r="I48" s="406"/>
      <c r="J48" s="409">
        <v>0</v>
      </c>
      <c r="K48" s="406"/>
      <c r="L48" s="411">
        <v>0</v>
      </c>
      <c r="M48" s="268"/>
      <c r="N48" s="220"/>
    </row>
    <row r="49" spans="1:18" ht="15" hidden="1" customHeight="1" x14ac:dyDescent="0.25">
      <c r="A49" s="266" t="s">
        <v>1734</v>
      </c>
      <c r="B49" s="453"/>
      <c r="C49" s="416">
        <v>0</v>
      </c>
      <c r="D49" s="406"/>
      <c r="E49" s="416">
        <v>0</v>
      </c>
      <c r="F49" s="417"/>
      <c r="G49" s="406"/>
      <c r="H49" s="406"/>
      <c r="I49" s="406"/>
      <c r="J49" s="416">
        <v>0</v>
      </c>
      <c r="K49" s="406"/>
      <c r="L49" s="418">
        <v>0</v>
      </c>
      <c r="M49" s="268"/>
      <c r="N49" s="219"/>
    </row>
    <row r="50" spans="1:18" ht="15" hidden="1" customHeight="1" x14ac:dyDescent="0.25">
      <c r="A50" s="269"/>
      <c r="B50" s="454"/>
      <c r="C50" s="412">
        <v>0</v>
      </c>
      <c r="D50" s="406"/>
      <c r="E50" s="412">
        <v>0</v>
      </c>
      <c r="F50" s="419"/>
      <c r="G50" s="406"/>
      <c r="H50" s="406"/>
      <c r="I50" s="406"/>
      <c r="J50" s="412">
        <v>0</v>
      </c>
      <c r="K50" s="406"/>
      <c r="L50" s="414">
        <v>0</v>
      </c>
      <c r="M50" s="268"/>
      <c r="N50" s="217"/>
    </row>
    <row r="51" spans="1:18" ht="15" customHeight="1" x14ac:dyDescent="0.25">
      <c r="A51" s="269" t="s">
        <v>1938</v>
      </c>
      <c r="B51" s="452" t="s">
        <v>1931</v>
      </c>
      <c r="C51" s="412">
        <v>0</v>
      </c>
      <c r="D51" s="406"/>
      <c r="E51" s="412"/>
      <c r="F51" s="419"/>
      <c r="G51" s="406"/>
      <c r="H51" s="406"/>
      <c r="I51" s="406"/>
      <c r="J51" s="412">
        <f>-[6]Página1!$K$1072/1000</f>
        <v>-17943.956839999999</v>
      </c>
      <c r="K51" s="406"/>
      <c r="L51" s="414"/>
      <c r="M51" s="268"/>
      <c r="N51" s="217"/>
    </row>
    <row r="52" spans="1:18" x14ac:dyDescent="0.25">
      <c r="A52" s="269" t="s">
        <v>54</v>
      </c>
      <c r="B52" s="454"/>
      <c r="C52" s="412">
        <v>0</v>
      </c>
      <c r="D52" s="406"/>
      <c r="E52" s="412">
        <v>0</v>
      </c>
      <c r="F52" s="419"/>
      <c r="G52" s="406"/>
      <c r="H52" s="406"/>
      <c r="I52" s="406"/>
      <c r="J52" s="412">
        <v>0</v>
      </c>
      <c r="K52" s="406"/>
      <c r="L52" s="414">
        <v>0</v>
      </c>
      <c r="M52" s="268"/>
      <c r="N52" s="217"/>
    </row>
    <row r="53" spans="1:18" x14ac:dyDescent="0.25">
      <c r="A53" s="266" t="s">
        <v>1939</v>
      </c>
      <c r="B53" s="452" t="s">
        <v>1946</v>
      </c>
      <c r="C53" s="441">
        <f>C43+C45</f>
        <v>1066.8634400000017</v>
      </c>
      <c r="D53" s="406"/>
      <c r="E53" s="441">
        <f>E43+E45</f>
        <v>3646.0233700000003</v>
      </c>
      <c r="F53" s="407"/>
      <c r="G53" s="420"/>
      <c r="H53" s="420"/>
      <c r="I53" s="420"/>
      <c r="J53" s="441">
        <f>J43+J45</f>
        <v>53856.495080000008</v>
      </c>
      <c r="K53" s="406"/>
      <c r="L53" s="420">
        <f>L43+L45</f>
        <v>-4734.8460799999993</v>
      </c>
      <c r="M53" s="274"/>
      <c r="N53" s="221"/>
      <c r="P53" s="201">
        <f>J53*1000</f>
        <v>53856495.080000006</v>
      </c>
      <c r="Q53" s="201"/>
      <c r="R53" s="201"/>
    </row>
    <row r="54" spans="1:18" x14ac:dyDescent="0.25">
      <c r="A54" s="266"/>
      <c r="B54" s="266"/>
      <c r="C54" s="267"/>
      <c r="D54" s="267"/>
      <c r="E54" s="267"/>
      <c r="F54" s="267"/>
      <c r="G54" s="273"/>
      <c r="H54" s="273"/>
      <c r="I54" s="273"/>
      <c r="J54" s="273"/>
      <c r="K54" s="267"/>
      <c r="L54" s="275"/>
      <c r="M54" s="274"/>
      <c r="N54" s="208"/>
      <c r="O54" s="355"/>
      <c r="R54" s="70"/>
    </row>
    <row r="55" spans="1:18" x14ac:dyDescent="0.25">
      <c r="A55" s="276"/>
      <c r="B55" s="276"/>
      <c r="C55" s="277"/>
      <c r="D55" s="276"/>
      <c r="E55" s="276"/>
      <c r="F55" s="276"/>
      <c r="G55" s="278"/>
      <c r="H55" s="278"/>
      <c r="I55" s="278"/>
      <c r="J55" s="279"/>
      <c r="K55" s="277"/>
      <c r="L55" s="280"/>
      <c r="M55" s="278"/>
      <c r="R55" s="70"/>
    </row>
    <row r="56" spans="1:18" ht="15" customHeight="1" x14ac:dyDescent="0.25">
      <c r="A56" s="472" t="s">
        <v>53</v>
      </c>
      <c r="B56" s="472"/>
      <c r="C56" s="472"/>
      <c r="D56" s="472"/>
      <c r="E56" s="472"/>
      <c r="F56" s="472"/>
      <c r="G56" s="472"/>
      <c r="H56" s="472"/>
      <c r="I56" s="472"/>
      <c r="J56" s="472"/>
      <c r="K56" s="472"/>
      <c r="L56" s="472"/>
      <c r="M56" s="472"/>
      <c r="R56" s="70"/>
    </row>
    <row r="57" spans="1:18" x14ac:dyDescent="0.25">
      <c r="A57" s="169"/>
      <c r="B57" s="169"/>
      <c r="C57" s="169"/>
      <c r="D57" s="169"/>
      <c r="E57" s="169"/>
      <c r="F57" s="169"/>
      <c r="G57" s="169"/>
      <c r="H57" s="169"/>
      <c r="I57" s="169"/>
      <c r="J57" s="166"/>
      <c r="K57" s="169"/>
      <c r="L57" s="174"/>
      <c r="M57" s="169"/>
    </row>
    <row r="58" spans="1:18" x14ac:dyDescent="0.25">
      <c r="A58" s="169"/>
      <c r="B58" s="169"/>
      <c r="C58" s="169"/>
      <c r="D58" s="169"/>
      <c r="E58" s="169"/>
      <c r="F58" s="169"/>
      <c r="G58" s="169"/>
      <c r="H58" s="169"/>
      <c r="I58" s="169"/>
      <c r="J58" s="166"/>
      <c r="K58" s="169"/>
      <c r="L58" s="174"/>
      <c r="M58" s="169"/>
    </row>
    <row r="59" spans="1:18" x14ac:dyDescent="0.25">
      <c r="A59" s="473"/>
      <c r="B59" s="473"/>
      <c r="C59" s="473"/>
      <c r="D59" s="473"/>
      <c r="E59" s="473"/>
      <c r="F59" s="473"/>
      <c r="G59" s="473"/>
      <c r="H59" s="166"/>
      <c r="I59" s="166"/>
      <c r="J59" s="174"/>
      <c r="K59" s="166"/>
      <c r="L59" s="134"/>
      <c r="M59" s="166"/>
    </row>
    <row r="60" spans="1:18" x14ac:dyDescent="0.25">
      <c r="A60" s="169"/>
      <c r="B60" s="169"/>
      <c r="C60" s="175"/>
      <c r="D60" s="175"/>
      <c r="E60" s="175"/>
      <c r="F60" s="175"/>
      <c r="G60" s="169"/>
      <c r="H60" s="169"/>
      <c r="I60" s="169"/>
      <c r="J60" s="174"/>
      <c r="K60" s="169"/>
      <c r="L60" s="166"/>
      <c r="M60" s="169"/>
      <c r="N60" s="70"/>
    </row>
    <row r="61" spans="1:18" x14ac:dyDescent="0.25">
      <c r="A61" s="166"/>
      <c r="B61" s="166"/>
      <c r="C61" s="194"/>
      <c r="D61" s="166"/>
      <c r="E61" s="194"/>
      <c r="F61" s="166"/>
      <c r="G61" s="166"/>
      <c r="H61" s="166"/>
      <c r="I61" s="166"/>
      <c r="J61" s="134"/>
      <c r="K61" s="166"/>
      <c r="L61" s="166"/>
      <c r="M61" s="166"/>
    </row>
    <row r="62" spans="1:18" x14ac:dyDescent="0.25">
      <c r="A62" s="169"/>
      <c r="B62" s="169"/>
      <c r="C62" s="175"/>
      <c r="D62" s="175"/>
      <c r="E62" s="175"/>
      <c r="F62" s="175"/>
      <c r="G62" s="169"/>
      <c r="H62" s="169"/>
      <c r="I62" s="169"/>
      <c r="J62" s="174"/>
      <c r="K62" s="169"/>
      <c r="L62" s="166"/>
      <c r="M62" s="169"/>
    </row>
    <row r="63" spans="1:18" x14ac:dyDescent="0.25">
      <c r="A63" s="169"/>
      <c r="B63" s="169"/>
      <c r="C63" s="175"/>
      <c r="D63" s="169"/>
      <c r="E63" s="169"/>
      <c r="F63" s="169"/>
      <c r="G63" s="169"/>
      <c r="H63" s="169"/>
      <c r="I63" s="169"/>
      <c r="J63" s="174"/>
      <c r="K63" s="169"/>
      <c r="L63" s="166"/>
      <c r="M63" s="169"/>
    </row>
    <row r="64" spans="1:18" x14ac:dyDescent="0.25">
      <c r="A64" s="169"/>
      <c r="B64" s="169"/>
      <c r="C64" s="169"/>
      <c r="D64" s="169"/>
      <c r="E64" s="169"/>
      <c r="F64" s="169"/>
      <c r="G64" s="169"/>
      <c r="H64" s="169"/>
      <c r="I64" s="169"/>
      <c r="J64" s="166"/>
      <c r="K64" s="169"/>
      <c r="L64" s="166"/>
      <c r="M64" s="169"/>
      <c r="N64" s="69"/>
    </row>
    <row r="65" spans="1:13" x14ac:dyDescent="0.25">
      <c r="A65" s="169"/>
      <c r="B65" s="169"/>
      <c r="C65" s="169"/>
      <c r="D65" s="169"/>
      <c r="E65" s="169"/>
      <c r="F65" s="169"/>
      <c r="G65" s="169"/>
      <c r="H65" s="169"/>
      <c r="I65" s="169"/>
      <c r="J65" s="166"/>
      <c r="K65" s="169"/>
      <c r="L65" s="166"/>
      <c r="M65" s="169"/>
    </row>
    <row r="66" spans="1:13" x14ac:dyDescent="0.25">
      <c r="A66" s="166"/>
      <c r="B66" s="166"/>
      <c r="C66" s="166"/>
      <c r="D66" s="166"/>
      <c r="E66" s="194"/>
      <c r="F66" s="166"/>
      <c r="G66" s="166"/>
      <c r="H66" s="166"/>
      <c r="I66" s="166"/>
      <c r="J66" s="166"/>
      <c r="K66" s="166"/>
      <c r="L66" s="166"/>
      <c r="M66" s="166"/>
    </row>
    <row r="67" spans="1:13" x14ac:dyDescent="0.25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</row>
    <row r="68" spans="1:13" x14ac:dyDescent="0.25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</row>
    <row r="69" spans="1:13" x14ac:dyDescent="0.25">
      <c r="A69" s="223"/>
      <c r="B69" s="223"/>
      <c r="C69" s="223"/>
      <c r="D69" s="223"/>
      <c r="E69" s="223"/>
      <c r="F69" s="223"/>
      <c r="G69" s="223"/>
      <c r="H69" s="223"/>
      <c r="I69" s="223"/>
      <c r="J69" s="166"/>
      <c r="K69" s="223"/>
      <c r="L69" s="166"/>
      <c r="M69" s="176"/>
    </row>
  </sheetData>
  <mergeCells count="8">
    <mergeCell ref="A8:L8"/>
    <mergeCell ref="A9:L9"/>
    <mergeCell ref="A11:L11"/>
    <mergeCell ref="A56:M56"/>
    <mergeCell ref="A59:G59"/>
    <mergeCell ref="A13:M13"/>
    <mergeCell ref="A14:M14"/>
    <mergeCell ref="A15:M15"/>
  </mergeCells>
  <pageMargins left="0.98425196850393704" right="0.78740157480314965" top="2.4803149606299213" bottom="0.78740157480314965" header="0" footer="0"/>
  <pageSetup paperSize="9" scale="70" fitToHeight="0" orientation="portrait" r:id="rId1"/>
  <headerFooter alignWithMargins="0"/>
  <rowBreaks count="1" manualBreakCount="1">
    <brk id="56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opLeftCell="A64" zoomScale="130" zoomScaleNormal="130" workbookViewId="0">
      <selection activeCell="H74" sqref="H74"/>
    </sheetView>
  </sheetViews>
  <sheetFormatPr defaultRowHeight="12.75" x14ac:dyDescent="0.2"/>
  <cols>
    <col min="1" max="1" width="50.7109375" style="113" customWidth="1"/>
    <col min="2" max="2" width="2.7109375" style="113" customWidth="1"/>
    <col min="3" max="3" width="12.7109375" style="113" hidden="1" customWidth="1"/>
    <col min="4" max="4" width="2.7109375" style="113" customWidth="1"/>
    <col min="5" max="5" width="12.7109375" style="113" bestFit="1" customWidth="1"/>
    <col min="6" max="7" width="3.140625" style="113" customWidth="1"/>
    <col min="8" max="8" width="12.7109375" style="113" customWidth="1"/>
    <col min="9" max="10" width="2.7109375" style="113" customWidth="1"/>
    <col min="11" max="11" width="12.7109375" style="113" customWidth="1"/>
    <col min="12" max="13" width="2.7109375" style="113" customWidth="1"/>
    <col min="14" max="14" width="12.7109375" style="113" customWidth="1"/>
    <col min="15" max="245" width="9.140625" style="113"/>
    <col min="246" max="246" width="56.42578125" style="113" bestFit="1" customWidth="1"/>
    <col min="247" max="247" width="12.7109375" style="113" bestFit="1" customWidth="1"/>
    <col min="248" max="248" width="2.7109375" style="113" customWidth="1"/>
    <col min="249" max="249" width="12.7109375" style="113" bestFit="1" customWidth="1"/>
    <col min="250" max="250" width="2.7109375" style="113" customWidth="1"/>
    <col min="251" max="251" width="9.140625" style="113"/>
    <col min="252" max="252" width="12.5703125" style="113" bestFit="1" customWidth="1"/>
    <col min="253" max="501" width="9.140625" style="113"/>
    <col min="502" max="502" width="56.42578125" style="113" bestFit="1" customWidth="1"/>
    <col min="503" max="503" width="12.7109375" style="113" bestFit="1" customWidth="1"/>
    <col min="504" max="504" width="2.7109375" style="113" customWidth="1"/>
    <col min="505" max="505" width="12.7109375" style="113" bestFit="1" customWidth="1"/>
    <col min="506" max="506" width="2.7109375" style="113" customWidth="1"/>
    <col min="507" max="507" width="9.140625" style="113"/>
    <col min="508" max="508" width="12.5703125" style="113" bestFit="1" customWidth="1"/>
    <col min="509" max="757" width="9.140625" style="113"/>
    <col min="758" max="758" width="56.42578125" style="113" bestFit="1" customWidth="1"/>
    <col min="759" max="759" width="12.7109375" style="113" bestFit="1" customWidth="1"/>
    <col min="760" max="760" width="2.7109375" style="113" customWidth="1"/>
    <col min="761" max="761" width="12.7109375" style="113" bestFit="1" customWidth="1"/>
    <col min="762" max="762" width="2.7109375" style="113" customWidth="1"/>
    <col min="763" max="763" width="9.140625" style="113"/>
    <col min="764" max="764" width="12.5703125" style="113" bestFit="1" customWidth="1"/>
    <col min="765" max="1013" width="9.140625" style="113"/>
    <col min="1014" max="1014" width="56.42578125" style="113" bestFit="1" customWidth="1"/>
    <col min="1015" max="1015" width="12.7109375" style="113" bestFit="1" customWidth="1"/>
    <col min="1016" max="1016" width="2.7109375" style="113" customWidth="1"/>
    <col min="1017" max="1017" width="12.7109375" style="113" bestFit="1" customWidth="1"/>
    <col min="1018" max="1018" width="2.7109375" style="113" customWidth="1"/>
    <col min="1019" max="1019" width="9.140625" style="113"/>
    <col min="1020" max="1020" width="12.5703125" style="113" bestFit="1" customWidth="1"/>
    <col min="1021" max="1269" width="9.140625" style="113"/>
    <col min="1270" max="1270" width="56.42578125" style="113" bestFit="1" customWidth="1"/>
    <col min="1271" max="1271" width="12.7109375" style="113" bestFit="1" customWidth="1"/>
    <col min="1272" max="1272" width="2.7109375" style="113" customWidth="1"/>
    <col min="1273" max="1273" width="12.7109375" style="113" bestFit="1" customWidth="1"/>
    <col min="1274" max="1274" width="2.7109375" style="113" customWidth="1"/>
    <col min="1275" max="1275" width="9.140625" style="113"/>
    <col min="1276" max="1276" width="12.5703125" style="113" bestFit="1" customWidth="1"/>
    <col min="1277" max="1525" width="9.140625" style="113"/>
    <col min="1526" max="1526" width="56.42578125" style="113" bestFit="1" customWidth="1"/>
    <col min="1527" max="1527" width="12.7109375" style="113" bestFit="1" customWidth="1"/>
    <col min="1528" max="1528" width="2.7109375" style="113" customWidth="1"/>
    <col min="1529" max="1529" width="12.7109375" style="113" bestFit="1" customWidth="1"/>
    <col min="1530" max="1530" width="2.7109375" style="113" customWidth="1"/>
    <col min="1531" max="1531" width="9.140625" style="113"/>
    <col min="1532" max="1532" width="12.5703125" style="113" bestFit="1" customWidth="1"/>
    <col min="1533" max="1781" width="9.140625" style="113"/>
    <col min="1782" max="1782" width="56.42578125" style="113" bestFit="1" customWidth="1"/>
    <col min="1783" max="1783" width="12.7109375" style="113" bestFit="1" customWidth="1"/>
    <col min="1784" max="1784" width="2.7109375" style="113" customWidth="1"/>
    <col min="1785" max="1785" width="12.7109375" style="113" bestFit="1" customWidth="1"/>
    <col min="1786" max="1786" width="2.7109375" style="113" customWidth="1"/>
    <col min="1787" max="1787" width="9.140625" style="113"/>
    <col min="1788" max="1788" width="12.5703125" style="113" bestFit="1" customWidth="1"/>
    <col min="1789" max="2037" width="9.140625" style="113"/>
    <col min="2038" max="2038" width="56.42578125" style="113" bestFit="1" customWidth="1"/>
    <col min="2039" max="2039" width="12.7109375" style="113" bestFit="1" customWidth="1"/>
    <col min="2040" max="2040" width="2.7109375" style="113" customWidth="1"/>
    <col min="2041" max="2041" width="12.7109375" style="113" bestFit="1" customWidth="1"/>
    <col min="2042" max="2042" width="2.7109375" style="113" customWidth="1"/>
    <col min="2043" max="2043" width="9.140625" style="113"/>
    <col min="2044" max="2044" width="12.5703125" style="113" bestFit="1" customWidth="1"/>
    <col min="2045" max="2293" width="9.140625" style="113"/>
    <col min="2294" max="2294" width="56.42578125" style="113" bestFit="1" customWidth="1"/>
    <col min="2295" max="2295" width="12.7109375" style="113" bestFit="1" customWidth="1"/>
    <col min="2296" max="2296" width="2.7109375" style="113" customWidth="1"/>
    <col min="2297" max="2297" width="12.7109375" style="113" bestFit="1" customWidth="1"/>
    <col min="2298" max="2298" width="2.7109375" style="113" customWidth="1"/>
    <col min="2299" max="2299" width="9.140625" style="113"/>
    <col min="2300" max="2300" width="12.5703125" style="113" bestFit="1" customWidth="1"/>
    <col min="2301" max="2549" width="9.140625" style="113"/>
    <col min="2550" max="2550" width="56.42578125" style="113" bestFit="1" customWidth="1"/>
    <col min="2551" max="2551" width="12.7109375" style="113" bestFit="1" customWidth="1"/>
    <col min="2552" max="2552" width="2.7109375" style="113" customWidth="1"/>
    <col min="2553" max="2553" width="12.7109375" style="113" bestFit="1" customWidth="1"/>
    <col min="2554" max="2554" width="2.7109375" style="113" customWidth="1"/>
    <col min="2555" max="2555" width="9.140625" style="113"/>
    <col min="2556" max="2556" width="12.5703125" style="113" bestFit="1" customWidth="1"/>
    <col min="2557" max="2805" width="9.140625" style="113"/>
    <col min="2806" max="2806" width="56.42578125" style="113" bestFit="1" customWidth="1"/>
    <col min="2807" max="2807" width="12.7109375" style="113" bestFit="1" customWidth="1"/>
    <col min="2808" max="2808" width="2.7109375" style="113" customWidth="1"/>
    <col min="2809" max="2809" width="12.7109375" style="113" bestFit="1" customWidth="1"/>
    <col min="2810" max="2810" width="2.7109375" style="113" customWidth="1"/>
    <col min="2811" max="2811" width="9.140625" style="113"/>
    <col min="2812" max="2812" width="12.5703125" style="113" bestFit="1" customWidth="1"/>
    <col min="2813" max="3061" width="9.140625" style="113"/>
    <col min="3062" max="3062" width="56.42578125" style="113" bestFit="1" customWidth="1"/>
    <col min="3063" max="3063" width="12.7109375" style="113" bestFit="1" customWidth="1"/>
    <col min="3064" max="3064" width="2.7109375" style="113" customWidth="1"/>
    <col min="3065" max="3065" width="12.7109375" style="113" bestFit="1" customWidth="1"/>
    <col min="3066" max="3066" width="2.7109375" style="113" customWidth="1"/>
    <col min="3067" max="3067" width="9.140625" style="113"/>
    <col min="3068" max="3068" width="12.5703125" style="113" bestFit="1" customWidth="1"/>
    <col min="3069" max="3317" width="9.140625" style="113"/>
    <col min="3318" max="3318" width="56.42578125" style="113" bestFit="1" customWidth="1"/>
    <col min="3319" max="3319" width="12.7109375" style="113" bestFit="1" customWidth="1"/>
    <col min="3320" max="3320" width="2.7109375" style="113" customWidth="1"/>
    <col min="3321" max="3321" width="12.7109375" style="113" bestFit="1" customWidth="1"/>
    <col min="3322" max="3322" width="2.7109375" style="113" customWidth="1"/>
    <col min="3323" max="3323" width="9.140625" style="113"/>
    <col min="3324" max="3324" width="12.5703125" style="113" bestFit="1" customWidth="1"/>
    <col min="3325" max="3573" width="9.140625" style="113"/>
    <col min="3574" max="3574" width="56.42578125" style="113" bestFit="1" customWidth="1"/>
    <col min="3575" max="3575" width="12.7109375" style="113" bestFit="1" customWidth="1"/>
    <col min="3576" max="3576" width="2.7109375" style="113" customWidth="1"/>
    <col min="3577" max="3577" width="12.7109375" style="113" bestFit="1" customWidth="1"/>
    <col min="3578" max="3578" width="2.7109375" style="113" customWidth="1"/>
    <col min="3579" max="3579" width="9.140625" style="113"/>
    <col min="3580" max="3580" width="12.5703125" style="113" bestFit="1" customWidth="1"/>
    <col min="3581" max="3829" width="9.140625" style="113"/>
    <col min="3830" max="3830" width="56.42578125" style="113" bestFit="1" customWidth="1"/>
    <col min="3831" max="3831" width="12.7109375" style="113" bestFit="1" customWidth="1"/>
    <col min="3832" max="3832" width="2.7109375" style="113" customWidth="1"/>
    <col min="3833" max="3833" width="12.7109375" style="113" bestFit="1" customWidth="1"/>
    <col min="3834" max="3834" width="2.7109375" style="113" customWidth="1"/>
    <col min="3835" max="3835" width="9.140625" style="113"/>
    <col min="3836" max="3836" width="12.5703125" style="113" bestFit="1" customWidth="1"/>
    <col min="3837" max="4085" width="9.140625" style="113"/>
    <col min="4086" max="4086" width="56.42578125" style="113" bestFit="1" customWidth="1"/>
    <col min="4087" max="4087" width="12.7109375" style="113" bestFit="1" customWidth="1"/>
    <col min="4088" max="4088" width="2.7109375" style="113" customWidth="1"/>
    <col min="4089" max="4089" width="12.7109375" style="113" bestFit="1" customWidth="1"/>
    <col min="4090" max="4090" width="2.7109375" style="113" customWidth="1"/>
    <col min="4091" max="4091" width="9.140625" style="113"/>
    <col min="4092" max="4092" width="12.5703125" style="113" bestFit="1" customWidth="1"/>
    <col min="4093" max="4341" width="9.140625" style="113"/>
    <col min="4342" max="4342" width="56.42578125" style="113" bestFit="1" customWidth="1"/>
    <col min="4343" max="4343" width="12.7109375" style="113" bestFit="1" customWidth="1"/>
    <col min="4344" max="4344" width="2.7109375" style="113" customWidth="1"/>
    <col min="4345" max="4345" width="12.7109375" style="113" bestFit="1" customWidth="1"/>
    <col min="4346" max="4346" width="2.7109375" style="113" customWidth="1"/>
    <col min="4347" max="4347" width="9.140625" style="113"/>
    <col min="4348" max="4348" width="12.5703125" style="113" bestFit="1" customWidth="1"/>
    <col min="4349" max="4597" width="9.140625" style="113"/>
    <col min="4598" max="4598" width="56.42578125" style="113" bestFit="1" customWidth="1"/>
    <col min="4599" max="4599" width="12.7109375" style="113" bestFit="1" customWidth="1"/>
    <col min="4600" max="4600" width="2.7109375" style="113" customWidth="1"/>
    <col min="4601" max="4601" width="12.7109375" style="113" bestFit="1" customWidth="1"/>
    <col min="4602" max="4602" width="2.7109375" style="113" customWidth="1"/>
    <col min="4603" max="4603" width="9.140625" style="113"/>
    <col min="4604" max="4604" width="12.5703125" style="113" bestFit="1" customWidth="1"/>
    <col min="4605" max="4853" width="9.140625" style="113"/>
    <col min="4854" max="4854" width="56.42578125" style="113" bestFit="1" customWidth="1"/>
    <col min="4855" max="4855" width="12.7109375" style="113" bestFit="1" customWidth="1"/>
    <col min="4856" max="4856" width="2.7109375" style="113" customWidth="1"/>
    <col min="4857" max="4857" width="12.7109375" style="113" bestFit="1" customWidth="1"/>
    <col min="4858" max="4858" width="2.7109375" style="113" customWidth="1"/>
    <col min="4859" max="4859" width="9.140625" style="113"/>
    <col min="4860" max="4860" width="12.5703125" style="113" bestFit="1" customWidth="1"/>
    <col min="4861" max="5109" width="9.140625" style="113"/>
    <col min="5110" max="5110" width="56.42578125" style="113" bestFit="1" customWidth="1"/>
    <col min="5111" max="5111" width="12.7109375" style="113" bestFit="1" customWidth="1"/>
    <col min="5112" max="5112" width="2.7109375" style="113" customWidth="1"/>
    <col min="5113" max="5113" width="12.7109375" style="113" bestFit="1" customWidth="1"/>
    <col min="5114" max="5114" width="2.7109375" style="113" customWidth="1"/>
    <col min="5115" max="5115" width="9.140625" style="113"/>
    <col min="5116" max="5116" width="12.5703125" style="113" bestFit="1" customWidth="1"/>
    <col min="5117" max="5365" width="9.140625" style="113"/>
    <col min="5366" max="5366" width="56.42578125" style="113" bestFit="1" customWidth="1"/>
    <col min="5367" max="5367" width="12.7109375" style="113" bestFit="1" customWidth="1"/>
    <col min="5368" max="5368" width="2.7109375" style="113" customWidth="1"/>
    <col min="5369" max="5369" width="12.7109375" style="113" bestFit="1" customWidth="1"/>
    <col min="5370" max="5370" width="2.7109375" style="113" customWidth="1"/>
    <col min="5371" max="5371" width="9.140625" style="113"/>
    <col min="5372" max="5372" width="12.5703125" style="113" bestFit="1" customWidth="1"/>
    <col min="5373" max="5621" width="9.140625" style="113"/>
    <col min="5622" max="5622" width="56.42578125" style="113" bestFit="1" customWidth="1"/>
    <col min="5623" max="5623" width="12.7109375" style="113" bestFit="1" customWidth="1"/>
    <col min="5624" max="5624" width="2.7109375" style="113" customWidth="1"/>
    <col min="5625" max="5625" width="12.7109375" style="113" bestFit="1" customWidth="1"/>
    <col min="5626" max="5626" width="2.7109375" style="113" customWidth="1"/>
    <col min="5627" max="5627" width="9.140625" style="113"/>
    <col min="5628" max="5628" width="12.5703125" style="113" bestFit="1" customWidth="1"/>
    <col min="5629" max="5877" width="9.140625" style="113"/>
    <col min="5878" max="5878" width="56.42578125" style="113" bestFit="1" customWidth="1"/>
    <col min="5879" max="5879" width="12.7109375" style="113" bestFit="1" customWidth="1"/>
    <col min="5880" max="5880" width="2.7109375" style="113" customWidth="1"/>
    <col min="5881" max="5881" width="12.7109375" style="113" bestFit="1" customWidth="1"/>
    <col min="5882" max="5882" width="2.7109375" style="113" customWidth="1"/>
    <col min="5883" max="5883" width="9.140625" style="113"/>
    <col min="5884" max="5884" width="12.5703125" style="113" bestFit="1" customWidth="1"/>
    <col min="5885" max="6133" width="9.140625" style="113"/>
    <col min="6134" max="6134" width="56.42578125" style="113" bestFit="1" customWidth="1"/>
    <col min="6135" max="6135" width="12.7109375" style="113" bestFit="1" customWidth="1"/>
    <col min="6136" max="6136" width="2.7109375" style="113" customWidth="1"/>
    <col min="6137" max="6137" width="12.7109375" style="113" bestFit="1" customWidth="1"/>
    <col min="6138" max="6138" width="2.7109375" style="113" customWidth="1"/>
    <col min="6139" max="6139" width="9.140625" style="113"/>
    <col min="6140" max="6140" width="12.5703125" style="113" bestFit="1" customWidth="1"/>
    <col min="6141" max="6389" width="9.140625" style="113"/>
    <col min="6390" max="6390" width="56.42578125" style="113" bestFit="1" customWidth="1"/>
    <col min="6391" max="6391" width="12.7109375" style="113" bestFit="1" customWidth="1"/>
    <col min="6392" max="6392" width="2.7109375" style="113" customWidth="1"/>
    <col min="6393" max="6393" width="12.7109375" style="113" bestFit="1" customWidth="1"/>
    <col min="6394" max="6394" width="2.7109375" style="113" customWidth="1"/>
    <col min="6395" max="6395" width="9.140625" style="113"/>
    <col min="6396" max="6396" width="12.5703125" style="113" bestFit="1" customWidth="1"/>
    <col min="6397" max="6645" width="9.140625" style="113"/>
    <col min="6646" max="6646" width="56.42578125" style="113" bestFit="1" customWidth="1"/>
    <col min="6647" max="6647" width="12.7109375" style="113" bestFit="1" customWidth="1"/>
    <col min="6648" max="6648" width="2.7109375" style="113" customWidth="1"/>
    <col min="6649" max="6649" width="12.7109375" style="113" bestFit="1" customWidth="1"/>
    <col min="6650" max="6650" width="2.7109375" style="113" customWidth="1"/>
    <col min="6651" max="6651" width="9.140625" style="113"/>
    <col min="6652" max="6652" width="12.5703125" style="113" bestFit="1" customWidth="1"/>
    <col min="6653" max="6901" width="9.140625" style="113"/>
    <col min="6902" max="6902" width="56.42578125" style="113" bestFit="1" customWidth="1"/>
    <col min="6903" max="6903" width="12.7109375" style="113" bestFit="1" customWidth="1"/>
    <col min="6904" max="6904" width="2.7109375" style="113" customWidth="1"/>
    <col min="6905" max="6905" width="12.7109375" style="113" bestFit="1" customWidth="1"/>
    <col min="6906" max="6906" width="2.7109375" style="113" customWidth="1"/>
    <col min="6907" max="6907" width="9.140625" style="113"/>
    <col min="6908" max="6908" width="12.5703125" style="113" bestFit="1" customWidth="1"/>
    <col min="6909" max="7157" width="9.140625" style="113"/>
    <col min="7158" max="7158" width="56.42578125" style="113" bestFit="1" customWidth="1"/>
    <col min="7159" max="7159" width="12.7109375" style="113" bestFit="1" customWidth="1"/>
    <col min="7160" max="7160" width="2.7109375" style="113" customWidth="1"/>
    <col min="7161" max="7161" width="12.7109375" style="113" bestFit="1" customWidth="1"/>
    <col min="7162" max="7162" width="2.7109375" style="113" customWidth="1"/>
    <col min="7163" max="7163" width="9.140625" style="113"/>
    <col min="7164" max="7164" width="12.5703125" style="113" bestFit="1" customWidth="1"/>
    <col min="7165" max="7413" width="9.140625" style="113"/>
    <col min="7414" max="7414" width="56.42578125" style="113" bestFit="1" customWidth="1"/>
    <col min="7415" max="7415" width="12.7109375" style="113" bestFit="1" customWidth="1"/>
    <col min="7416" max="7416" width="2.7109375" style="113" customWidth="1"/>
    <col min="7417" max="7417" width="12.7109375" style="113" bestFit="1" customWidth="1"/>
    <col min="7418" max="7418" width="2.7109375" style="113" customWidth="1"/>
    <col min="7419" max="7419" width="9.140625" style="113"/>
    <col min="7420" max="7420" width="12.5703125" style="113" bestFit="1" customWidth="1"/>
    <col min="7421" max="7669" width="9.140625" style="113"/>
    <col min="7670" max="7670" width="56.42578125" style="113" bestFit="1" customWidth="1"/>
    <col min="7671" max="7671" width="12.7109375" style="113" bestFit="1" customWidth="1"/>
    <col min="7672" max="7672" width="2.7109375" style="113" customWidth="1"/>
    <col min="7673" max="7673" width="12.7109375" style="113" bestFit="1" customWidth="1"/>
    <col min="7674" max="7674" width="2.7109375" style="113" customWidth="1"/>
    <col min="7675" max="7675" width="9.140625" style="113"/>
    <col min="7676" max="7676" width="12.5703125" style="113" bestFit="1" customWidth="1"/>
    <col min="7677" max="7925" width="9.140625" style="113"/>
    <col min="7926" max="7926" width="56.42578125" style="113" bestFit="1" customWidth="1"/>
    <col min="7927" max="7927" width="12.7109375" style="113" bestFit="1" customWidth="1"/>
    <col min="7928" max="7928" width="2.7109375" style="113" customWidth="1"/>
    <col min="7929" max="7929" width="12.7109375" style="113" bestFit="1" customWidth="1"/>
    <col min="7930" max="7930" width="2.7109375" style="113" customWidth="1"/>
    <col min="7931" max="7931" width="9.140625" style="113"/>
    <col min="7932" max="7932" width="12.5703125" style="113" bestFit="1" customWidth="1"/>
    <col min="7933" max="8181" width="9.140625" style="113"/>
    <col min="8182" max="8182" width="56.42578125" style="113" bestFit="1" customWidth="1"/>
    <col min="8183" max="8183" width="12.7109375" style="113" bestFit="1" customWidth="1"/>
    <col min="8184" max="8184" width="2.7109375" style="113" customWidth="1"/>
    <col min="8185" max="8185" width="12.7109375" style="113" bestFit="1" customWidth="1"/>
    <col min="8186" max="8186" width="2.7109375" style="113" customWidth="1"/>
    <col min="8187" max="8187" width="9.140625" style="113"/>
    <col min="8188" max="8188" width="12.5703125" style="113" bestFit="1" customWidth="1"/>
    <col min="8189" max="8437" width="9.140625" style="113"/>
    <col min="8438" max="8438" width="56.42578125" style="113" bestFit="1" customWidth="1"/>
    <col min="8439" max="8439" width="12.7109375" style="113" bestFit="1" customWidth="1"/>
    <col min="8440" max="8440" width="2.7109375" style="113" customWidth="1"/>
    <col min="8441" max="8441" width="12.7109375" style="113" bestFit="1" customWidth="1"/>
    <col min="8442" max="8442" width="2.7109375" style="113" customWidth="1"/>
    <col min="8443" max="8443" width="9.140625" style="113"/>
    <col min="8444" max="8444" width="12.5703125" style="113" bestFit="1" customWidth="1"/>
    <col min="8445" max="8693" width="9.140625" style="113"/>
    <col min="8694" max="8694" width="56.42578125" style="113" bestFit="1" customWidth="1"/>
    <col min="8695" max="8695" width="12.7109375" style="113" bestFit="1" customWidth="1"/>
    <col min="8696" max="8696" width="2.7109375" style="113" customWidth="1"/>
    <col min="8697" max="8697" width="12.7109375" style="113" bestFit="1" customWidth="1"/>
    <col min="8698" max="8698" width="2.7109375" style="113" customWidth="1"/>
    <col min="8699" max="8699" width="9.140625" style="113"/>
    <col min="8700" max="8700" width="12.5703125" style="113" bestFit="1" customWidth="1"/>
    <col min="8701" max="8949" width="9.140625" style="113"/>
    <col min="8950" max="8950" width="56.42578125" style="113" bestFit="1" customWidth="1"/>
    <col min="8951" max="8951" width="12.7109375" style="113" bestFit="1" customWidth="1"/>
    <col min="8952" max="8952" width="2.7109375" style="113" customWidth="1"/>
    <col min="8953" max="8953" width="12.7109375" style="113" bestFit="1" customWidth="1"/>
    <col min="8954" max="8954" width="2.7109375" style="113" customWidth="1"/>
    <col min="8955" max="8955" width="9.140625" style="113"/>
    <col min="8956" max="8956" width="12.5703125" style="113" bestFit="1" customWidth="1"/>
    <col min="8957" max="9205" width="9.140625" style="113"/>
    <col min="9206" max="9206" width="56.42578125" style="113" bestFit="1" customWidth="1"/>
    <col min="9207" max="9207" width="12.7109375" style="113" bestFit="1" customWidth="1"/>
    <col min="9208" max="9208" width="2.7109375" style="113" customWidth="1"/>
    <col min="9209" max="9209" width="12.7109375" style="113" bestFit="1" customWidth="1"/>
    <col min="9210" max="9210" width="2.7109375" style="113" customWidth="1"/>
    <col min="9211" max="9211" width="9.140625" style="113"/>
    <col min="9212" max="9212" width="12.5703125" style="113" bestFit="1" customWidth="1"/>
    <col min="9213" max="9461" width="9.140625" style="113"/>
    <col min="9462" max="9462" width="56.42578125" style="113" bestFit="1" customWidth="1"/>
    <col min="9463" max="9463" width="12.7109375" style="113" bestFit="1" customWidth="1"/>
    <col min="9464" max="9464" width="2.7109375" style="113" customWidth="1"/>
    <col min="9465" max="9465" width="12.7109375" style="113" bestFit="1" customWidth="1"/>
    <col min="9466" max="9466" width="2.7109375" style="113" customWidth="1"/>
    <col min="9467" max="9467" width="9.140625" style="113"/>
    <col min="9468" max="9468" width="12.5703125" style="113" bestFit="1" customWidth="1"/>
    <col min="9469" max="9717" width="9.140625" style="113"/>
    <col min="9718" max="9718" width="56.42578125" style="113" bestFit="1" customWidth="1"/>
    <col min="9719" max="9719" width="12.7109375" style="113" bestFit="1" customWidth="1"/>
    <col min="9720" max="9720" width="2.7109375" style="113" customWidth="1"/>
    <col min="9721" max="9721" width="12.7109375" style="113" bestFit="1" customWidth="1"/>
    <col min="9722" max="9722" width="2.7109375" style="113" customWidth="1"/>
    <col min="9723" max="9723" width="9.140625" style="113"/>
    <col min="9724" max="9724" width="12.5703125" style="113" bestFit="1" customWidth="1"/>
    <col min="9725" max="9973" width="9.140625" style="113"/>
    <col min="9974" max="9974" width="56.42578125" style="113" bestFit="1" customWidth="1"/>
    <col min="9975" max="9975" width="12.7109375" style="113" bestFit="1" customWidth="1"/>
    <col min="9976" max="9976" width="2.7109375" style="113" customWidth="1"/>
    <col min="9977" max="9977" width="12.7109375" style="113" bestFit="1" customWidth="1"/>
    <col min="9978" max="9978" width="2.7109375" style="113" customWidth="1"/>
    <col min="9979" max="9979" width="9.140625" style="113"/>
    <col min="9980" max="9980" width="12.5703125" style="113" bestFit="1" customWidth="1"/>
    <col min="9981" max="10229" width="9.140625" style="113"/>
    <col min="10230" max="10230" width="56.42578125" style="113" bestFit="1" customWidth="1"/>
    <col min="10231" max="10231" width="12.7109375" style="113" bestFit="1" customWidth="1"/>
    <col min="10232" max="10232" width="2.7109375" style="113" customWidth="1"/>
    <col min="10233" max="10233" width="12.7109375" style="113" bestFit="1" customWidth="1"/>
    <col min="10234" max="10234" width="2.7109375" style="113" customWidth="1"/>
    <col min="10235" max="10235" width="9.140625" style="113"/>
    <col min="10236" max="10236" width="12.5703125" style="113" bestFit="1" customWidth="1"/>
    <col min="10237" max="10485" width="9.140625" style="113"/>
    <col min="10486" max="10486" width="56.42578125" style="113" bestFit="1" customWidth="1"/>
    <col min="10487" max="10487" width="12.7109375" style="113" bestFit="1" customWidth="1"/>
    <col min="10488" max="10488" width="2.7109375" style="113" customWidth="1"/>
    <col min="10489" max="10489" width="12.7109375" style="113" bestFit="1" customWidth="1"/>
    <col min="10490" max="10490" width="2.7109375" style="113" customWidth="1"/>
    <col min="10491" max="10491" width="9.140625" style="113"/>
    <col min="10492" max="10492" width="12.5703125" style="113" bestFit="1" customWidth="1"/>
    <col min="10493" max="10741" width="9.140625" style="113"/>
    <col min="10742" max="10742" width="56.42578125" style="113" bestFit="1" customWidth="1"/>
    <col min="10743" max="10743" width="12.7109375" style="113" bestFit="1" customWidth="1"/>
    <col min="10744" max="10744" width="2.7109375" style="113" customWidth="1"/>
    <col min="10745" max="10745" width="12.7109375" style="113" bestFit="1" customWidth="1"/>
    <col min="10746" max="10746" width="2.7109375" style="113" customWidth="1"/>
    <col min="10747" max="10747" width="9.140625" style="113"/>
    <col min="10748" max="10748" width="12.5703125" style="113" bestFit="1" customWidth="1"/>
    <col min="10749" max="10997" width="9.140625" style="113"/>
    <col min="10998" max="10998" width="56.42578125" style="113" bestFit="1" customWidth="1"/>
    <col min="10999" max="10999" width="12.7109375" style="113" bestFit="1" customWidth="1"/>
    <col min="11000" max="11000" width="2.7109375" style="113" customWidth="1"/>
    <col min="11001" max="11001" width="12.7109375" style="113" bestFit="1" customWidth="1"/>
    <col min="11002" max="11002" width="2.7109375" style="113" customWidth="1"/>
    <col min="11003" max="11003" width="9.140625" style="113"/>
    <col min="11004" max="11004" width="12.5703125" style="113" bestFit="1" customWidth="1"/>
    <col min="11005" max="11253" width="9.140625" style="113"/>
    <col min="11254" max="11254" width="56.42578125" style="113" bestFit="1" customWidth="1"/>
    <col min="11255" max="11255" width="12.7109375" style="113" bestFit="1" customWidth="1"/>
    <col min="11256" max="11256" width="2.7109375" style="113" customWidth="1"/>
    <col min="11257" max="11257" width="12.7109375" style="113" bestFit="1" customWidth="1"/>
    <col min="11258" max="11258" width="2.7109375" style="113" customWidth="1"/>
    <col min="11259" max="11259" width="9.140625" style="113"/>
    <col min="11260" max="11260" width="12.5703125" style="113" bestFit="1" customWidth="1"/>
    <col min="11261" max="11509" width="9.140625" style="113"/>
    <col min="11510" max="11510" width="56.42578125" style="113" bestFit="1" customWidth="1"/>
    <col min="11511" max="11511" width="12.7109375" style="113" bestFit="1" customWidth="1"/>
    <col min="11512" max="11512" width="2.7109375" style="113" customWidth="1"/>
    <col min="11513" max="11513" width="12.7109375" style="113" bestFit="1" customWidth="1"/>
    <col min="11514" max="11514" width="2.7109375" style="113" customWidth="1"/>
    <col min="11515" max="11515" width="9.140625" style="113"/>
    <col min="11516" max="11516" width="12.5703125" style="113" bestFit="1" customWidth="1"/>
    <col min="11517" max="11765" width="9.140625" style="113"/>
    <col min="11766" max="11766" width="56.42578125" style="113" bestFit="1" customWidth="1"/>
    <col min="11767" max="11767" width="12.7109375" style="113" bestFit="1" customWidth="1"/>
    <col min="11768" max="11768" width="2.7109375" style="113" customWidth="1"/>
    <col min="11769" max="11769" width="12.7109375" style="113" bestFit="1" customWidth="1"/>
    <col min="11770" max="11770" width="2.7109375" style="113" customWidth="1"/>
    <col min="11771" max="11771" width="9.140625" style="113"/>
    <col min="11772" max="11772" width="12.5703125" style="113" bestFit="1" customWidth="1"/>
    <col min="11773" max="12021" width="9.140625" style="113"/>
    <col min="12022" max="12022" width="56.42578125" style="113" bestFit="1" customWidth="1"/>
    <col min="12023" max="12023" width="12.7109375" style="113" bestFit="1" customWidth="1"/>
    <col min="12024" max="12024" width="2.7109375" style="113" customWidth="1"/>
    <col min="12025" max="12025" width="12.7109375" style="113" bestFit="1" customWidth="1"/>
    <col min="12026" max="12026" width="2.7109375" style="113" customWidth="1"/>
    <col min="12027" max="12027" width="9.140625" style="113"/>
    <col min="12028" max="12028" width="12.5703125" style="113" bestFit="1" customWidth="1"/>
    <col min="12029" max="12277" width="9.140625" style="113"/>
    <col min="12278" max="12278" width="56.42578125" style="113" bestFit="1" customWidth="1"/>
    <col min="12279" max="12279" width="12.7109375" style="113" bestFit="1" customWidth="1"/>
    <col min="12280" max="12280" width="2.7109375" style="113" customWidth="1"/>
    <col min="12281" max="12281" width="12.7109375" style="113" bestFit="1" customWidth="1"/>
    <col min="12282" max="12282" width="2.7109375" style="113" customWidth="1"/>
    <col min="12283" max="12283" width="9.140625" style="113"/>
    <col min="12284" max="12284" width="12.5703125" style="113" bestFit="1" customWidth="1"/>
    <col min="12285" max="12533" width="9.140625" style="113"/>
    <col min="12534" max="12534" width="56.42578125" style="113" bestFit="1" customWidth="1"/>
    <col min="12535" max="12535" width="12.7109375" style="113" bestFit="1" customWidth="1"/>
    <col min="12536" max="12536" width="2.7109375" style="113" customWidth="1"/>
    <col min="12537" max="12537" width="12.7109375" style="113" bestFit="1" customWidth="1"/>
    <col min="12538" max="12538" width="2.7109375" style="113" customWidth="1"/>
    <col min="12539" max="12539" width="9.140625" style="113"/>
    <col min="12540" max="12540" width="12.5703125" style="113" bestFit="1" customWidth="1"/>
    <col min="12541" max="12789" width="9.140625" style="113"/>
    <col min="12790" max="12790" width="56.42578125" style="113" bestFit="1" customWidth="1"/>
    <col min="12791" max="12791" width="12.7109375" style="113" bestFit="1" customWidth="1"/>
    <col min="12792" max="12792" width="2.7109375" style="113" customWidth="1"/>
    <col min="12793" max="12793" width="12.7109375" style="113" bestFit="1" customWidth="1"/>
    <col min="12794" max="12794" width="2.7109375" style="113" customWidth="1"/>
    <col min="12795" max="12795" width="9.140625" style="113"/>
    <col min="12796" max="12796" width="12.5703125" style="113" bestFit="1" customWidth="1"/>
    <col min="12797" max="13045" width="9.140625" style="113"/>
    <col min="13046" max="13046" width="56.42578125" style="113" bestFit="1" customWidth="1"/>
    <col min="13047" max="13047" width="12.7109375" style="113" bestFit="1" customWidth="1"/>
    <col min="13048" max="13048" width="2.7109375" style="113" customWidth="1"/>
    <col min="13049" max="13049" width="12.7109375" style="113" bestFit="1" customWidth="1"/>
    <col min="13050" max="13050" width="2.7109375" style="113" customWidth="1"/>
    <col min="13051" max="13051" width="9.140625" style="113"/>
    <col min="13052" max="13052" width="12.5703125" style="113" bestFit="1" customWidth="1"/>
    <col min="13053" max="13301" width="9.140625" style="113"/>
    <col min="13302" max="13302" width="56.42578125" style="113" bestFit="1" customWidth="1"/>
    <col min="13303" max="13303" width="12.7109375" style="113" bestFit="1" customWidth="1"/>
    <col min="13304" max="13304" width="2.7109375" style="113" customWidth="1"/>
    <col min="13305" max="13305" width="12.7109375" style="113" bestFit="1" customWidth="1"/>
    <col min="13306" max="13306" width="2.7109375" style="113" customWidth="1"/>
    <col min="13307" max="13307" width="9.140625" style="113"/>
    <col min="13308" max="13308" width="12.5703125" style="113" bestFit="1" customWidth="1"/>
    <col min="13309" max="13557" width="9.140625" style="113"/>
    <col min="13558" max="13558" width="56.42578125" style="113" bestFit="1" customWidth="1"/>
    <col min="13559" max="13559" width="12.7109375" style="113" bestFit="1" customWidth="1"/>
    <col min="13560" max="13560" width="2.7109375" style="113" customWidth="1"/>
    <col min="13561" max="13561" width="12.7109375" style="113" bestFit="1" customWidth="1"/>
    <col min="13562" max="13562" width="2.7109375" style="113" customWidth="1"/>
    <col min="13563" max="13563" width="9.140625" style="113"/>
    <col min="13564" max="13564" width="12.5703125" style="113" bestFit="1" customWidth="1"/>
    <col min="13565" max="13813" width="9.140625" style="113"/>
    <col min="13814" max="13814" width="56.42578125" style="113" bestFit="1" customWidth="1"/>
    <col min="13815" max="13815" width="12.7109375" style="113" bestFit="1" customWidth="1"/>
    <col min="13816" max="13816" width="2.7109375" style="113" customWidth="1"/>
    <col min="13817" max="13817" width="12.7109375" style="113" bestFit="1" customWidth="1"/>
    <col min="13818" max="13818" width="2.7109375" style="113" customWidth="1"/>
    <col min="13819" max="13819" width="9.140625" style="113"/>
    <col min="13820" max="13820" width="12.5703125" style="113" bestFit="1" customWidth="1"/>
    <col min="13821" max="14069" width="9.140625" style="113"/>
    <col min="14070" max="14070" width="56.42578125" style="113" bestFit="1" customWidth="1"/>
    <col min="14071" max="14071" width="12.7109375" style="113" bestFit="1" customWidth="1"/>
    <col min="14072" max="14072" width="2.7109375" style="113" customWidth="1"/>
    <col min="14073" max="14073" width="12.7109375" style="113" bestFit="1" customWidth="1"/>
    <col min="14074" max="14074" width="2.7109375" style="113" customWidth="1"/>
    <col min="14075" max="14075" width="9.140625" style="113"/>
    <col min="14076" max="14076" width="12.5703125" style="113" bestFit="1" customWidth="1"/>
    <col min="14077" max="14325" width="9.140625" style="113"/>
    <col min="14326" max="14326" width="56.42578125" style="113" bestFit="1" customWidth="1"/>
    <col min="14327" max="14327" width="12.7109375" style="113" bestFit="1" customWidth="1"/>
    <col min="14328" max="14328" width="2.7109375" style="113" customWidth="1"/>
    <col min="14329" max="14329" width="12.7109375" style="113" bestFit="1" customWidth="1"/>
    <col min="14330" max="14330" width="2.7109375" style="113" customWidth="1"/>
    <col min="14331" max="14331" width="9.140625" style="113"/>
    <col min="14332" max="14332" width="12.5703125" style="113" bestFit="1" customWidth="1"/>
    <col min="14333" max="14581" width="9.140625" style="113"/>
    <col min="14582" max="14582" width="56.42578125" style="113" bestFit="1" customWidth="1"/>
    <col min="14583" max="14583" width="12.7109375" style="113" bestFit="1" customWidth="1"/>
    <col min="14584" max="14584" width="2.7109375" style="113" customWidth="1"/>
    <col min="14585" max="14585" width="12.7109375" style="113" bestFit="1" customWidth="1"/>
    <col min="14586" max="14586" width="2.7109375" style="113" customWidth="1"/>
    <col min="14587" max="14587" width="9.140625" style="113"/>
    <col min="14588" max="14588" width="12.5703125" style="113" bestFit="1" customWidth="1"/>
    <col min="14589" max="14837" width="9.140625" style="113"/>
    <col min="14838" max="14838" width="56.42578125" style="113" bestFit="1" customWidth="1"/>
    <col min="14839" max="14839" width="12.7109375" style="113" bestFit="1" customWidth="1"/>
    <col min="14840" max="14840" width="2.7109375" style="113" customWidth="1"/>
    <col min="14841" max="14841" width="12.7109375" style="113" bestFit="1" customWidth="1"/>
    <col min="14842" max="14842" width="2.7109375" style="113" customWidth="1"/>
    <col min="14843" max="14843" width="9.140625" style="113"/>
    <col min="14844" max="14844" width="12.5703125" style="113" bestFit="1" customWidth="1"/>
    <col min="14845" max="15093" width="9.140625" style="113"/>
    <col min="15094" max="15094" width="56.42578125" style="113" bestFit="1" customWidth="1"/>
    <col min="15095" max="15095" width="12.7109375" style="113" bestFit="1" customWidth="1"/>
    <col min="15096" max="15096" width="2.7109375" style="113" customWidth="1"/>
    <col min="15097" max="15097" width="12.7109375" style="113" bestFit="1" customWidth="1"/>
    <col min="15098" max="15098" width="2.7109375" style="113" customWidth="1"/>
    <col min="15099" max="15099" width="9.140625" style="113"/>
    <col min="15100" max="15100" width="12.5703125" style="113" bestFit="1" customWidth="1"/>
    <col min="15101" max="15349" width="9.140625" style="113"/>
    <col min="15350" max="15350" width="56.42578125" style="113" bestFit="1" customWidth="1"/>
    <col min="15351" max="15351" width="12.7109375" style="113" bestFit="1" customWidth="1"/>
    <col min="15352" max="15352" width="2.7109375" style="113" customWidth="1"/>
    <col min="15353" max="15353" width="12.7109375" style="113" bestFit="1" customWidth="1"/>
    <col min="15354" max="15354" width="2.7109375" style="113" customWidth="1"/>
    <col min="15355" max="15355" width="9.140625" style="113"/>
    <col min="15356" max="15356" width="12.5703125" style="113" bestFit="1" customWidth="1"/>
    <col min="15357" max="15605" width="9.140625" style="113"/>
    <col min="15606" max="15606" width="56.42578125" style="113" bestFit="1" customWidth="1"/>
    <col min="15607" max="15607" width="12.7109375" style="113" bestFit="1" customWidth="1"/>
    <col min="15608" max="15608" width="2.7109375" style="113" customWidth="1"/>
    <col min="15609" max="15609" width="12.7109375" style="113" bestFit="1" customWidth="1"/>
    <col min="15610" max="15610" width="2.7109375" style="113" customWidth="1"/>
    <col min="15611" max="15611" width="9.140625" style="113"/>
    <col min="15612" max="15612" width="12.5703125" style="113" bestFit="1" customWidth="1"/>
    <col min="15613" max="15861" width="9.140625" style="113"/>
    <col min="15862" max="15862" width="56.42578125" style="113" bestFit="1" customWidth="1"/>
    <col min="15863" max="15863" width="12.7109375" style="113" bestFit="1" customWidth="1"/>
    <col min="15864" max="15864" width="2.7109375" style="113" customWidth="1"/>
    <col min="15865" max="15865" width="12.7109375" style="113" bestFit="1" customWidth="1"/>
    <col min="15866" max="15866" width="2.7109375" style="113" customWidth="1"/>
    <col min="15867" max="15867" width="9.140625" style="113"/>
    <col min="15868" max="15868" width="12.5703125" style="113" bestFit="1" customWidth="1"/>
    <col min="15869" max="16117" width="9.140625" style="113"/>
    <col min="16118" max="16118" width="56.42578125" style="113" bestFit="1" customWidth="1"/>
    <col min="16119" max="16119" width="12.7109375" style="113" bestFit="1" customWidth="1"/>
    <col min="16120" max="16120" width="2.7109375" style="113" customWidth="1"/>
    <col min="16121" max="16121" width="12.7109375" style="113" bestFit="1" customWidth="1"/>
    <col min="16122" max="16122" width="2.7109375" style="113" customWidth="1"/>
    <col min="16123" max="16123" width="9.140625" style="113"/>
    <col min="16124" max="16124" width="12.5703125" style="113" bestFit="1" customWidth="1"/>
    <col min="16125" max="16384" width="9.140625" style="113"/>
  </cols>
  <sheetData>
    <row r="1" spans="1:15" ht="14.25" x14ac:dyDescent="0.2">
      <c r="A1" s="478" t="s">
        <v>0</v>
      </c>
      <c r="B1" s="478"/>
      <c r="C1" s="479"/>
    </row>
    <row r="2" spans="1:15" ht="14.25" x14ac:dyDescent="0.2">
      <c r="A2" s="478" t="s">
        <v>1</v>
      </c>
      <c r="B2" s="478"/>
      <c r="C2" s="479"/>
    </row>
    <row r="3" spans="1:15" ht="15" x14ac:dyDescent="0.25">
      <c r="A3" s="118"/>
      <c r="B3" s="118"/>
      <c r="C3" s="118"/>
      <c r="D3" s="117"/>
      <c r="H3" s="118"/>
      <c r="K3" s="118"/>
    </row>
    <row r="4" spans="1:15" ht="14.25" x14ac:dyDescent="0.2">
      <c r="A4" s="478" t="s">
        <v>2</v>
      </c>
      <c r="B4" s="478"/>
      <c r="C4" s="479"/>
    </row>
    <row r="5" spans="1:15" ht="15" x14ac:dyDescent="0.25">
      <c r="A5" s="118"/>
      <c r="B5" s="118"/>
      <c r="C5" s="118"/>
      <c r="D5" s="117"/>
      <c r="H5" s="118"/>
      <c r="K5" s="118"/>
    </row>
    <row r="6" spans="1:15" ht="15" x14ac:dyDescent="0.25">
      <c r="A6" s="471" t="s">
        <v>1791</v>
      </c>
      <c r="B6" s="471"/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111"/>
    </row>
    <row r="7" spans="1:15" ht="15" x14ac:dyDescent="0.25">
      <c r="A7" s="471" t="s">
        <v>1790</v>
      </c>
      <c r="B7" s="471"/>
      <c r="C7" s="471"/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111"/>
    </row>
    <row r="8" spans="1:15" ht="15" x14ac:dyDescent="0.25">
      <c r="A8" s="471" t="s">
        <v>1711</v>
      </c>
      <c r="B8" s="471"/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111"/>
    </row>
    <row r="9" spans="1:15" ht="15" x14ac:dyDescent="0.25">
      <c r="A9" s="1"/>
      <c r="B9" s="1"/>
      <c r="C9" s="1"/>
      <c r="D9" s="1"/>
      <c r="H9" s="1"/>
      <c r="K9" s="1"/>
    </row>
    <row r="10" spans="1:15" ht="15" x14ac:dyDescent="0.25">
      <c r="A10" s="1"/>
      <c r="B10" s="1"/>
      <c r="C10" s="1"/>
      <c r="D10" s="1"/>
      <c r="H10" s="1"/>
      <c r="K10" s="1"/>
    </row>
    <row r="11" spans="1:15" ht="15" x14ac:dyDescent="0.25">
      <c r="A11" s="1"/>
      <c r="B11" s="1"/>
      <c r="C11" s="2" t="s">
        <v>4</v>
      </c>
      <c r="D11" s="2"/>
      <c r="E11" s="99" t="s">
        <v>4</v>
      </c>
      <c r="F11" s="100"/>
      <c r="G11" s="100"/>
      <c r="H11" s="99" t="s">
        <v>4</v>
      </c>
      <c r="I11" s="100"/>
      <c r="J11" s="100"/>
      <c r="K11" s="99" t="s">
        <v>4</v>
      </c>
      <c r="L11" s="100"/>
      <c r="M11" s="100"/>
      <c r="N11" s="99" t="s">
        <v>4</v>
      </c>
    </row>
    <row r="12" spans="1:15" ht="15" x14ac:dyDescent="0.25">
      <c r="A12" s="117"/>
      <c r="B12" s="117"/>
      <c r="C12" s="3">
        <v>43466</v>
      </c>
      <c r="D12" s="3"/>
      <c r="E12" s="101">
        <v>43922</v>
      </c>
      <c r="F12" s="100"/>
      <c r="G12" s="100"/>
      <c r="H12" s="101">
        <v>43831</v>
      </c>
      <c r="I12" s="100"/>
      <c r="J12" s="100"/>
      <c r="K12" s="101">
        <v>43556</v>
      </c>
      <c r="L12" s="100"/>
      <c r="M12" s="100"/>
      <c r="N12" s="101">
        <v>43466</v>
      </c>
    </row>
    <row r="13" spans="1:15" ht="15" x14ac:dyDescent="0.25">
      <c r="A13" s="117"/>
      <c r="B13" s="117"/>
      <c r="C13" s="2" t="s">
        <v>5</v>
      </c>
      <c r="D13" s="2"/>
      <c r="E13" s="99" t="s">
        <v>5</v>
      </c>
      <c r="F13" s="100"/>
      <c r="G13" s="100"/>
      <c r="H13" s="99" t="s">
        <v>5</v>
      </c>
      <c r="I13" s="100"/>
      <c r="J13" s="100"/>
      <c r="K13" s="99" t="s">
        <v>5</v>
      </c>
      <c r="L13" s="100"/>
      <c r="M13" s="100"/>
      <c r="N13" s="99" t="s">
        <v>5</v>
      </c>
    </row>
    <row r="14" spans="1:15" ht="15" x14ac:dyDescent="0.25">
      <c r="A14" s="117"/>
      <c r="B14" s="117"/>
      <c r="C14" s="4">
        <v>43555</v>
      </c>
      <c r="D14" s="4"/>
      <c r="E14" s="102">
        <v>44012</v>
      </c>
      <c r="F14" s="100"/>
      <c r="G14" s="100"/>
      <c r="H14" s="102">
        <v>44012</v>
      </c>
      <c r="I14" s="100"/>
      <c r="J14" s="100"/>
      <c r="K14" s="102">
        <v>43646</v>
      </c>
      <c r="L14" s="100"/>
      <c r="M14" s="100"/>
      <c r="N14" s="102">
        <v>43646</v>
      </c>
    </row>
    <row r="15" spans="1:15" ht="15" x14ac:dyDescent="0.25">
      <c r="A15" s="117"/>
      <c r="B15" s="117"/>
      <c r="C15" s="117"/>
      <c r="D15" s="117"/>
      <c r="E15" s="103"/>
      <c r="F15" s="100"/>
      <c r="G15" s="100"/>
      <c r="H15" s="103"/>
      <c r="I15" s="100"/>
      <c r="J15" s="100"/>
      <c r="K15" s="103"/>
      <c r="L15" s="100"/>
      <c r="M15" s="100"/>
      <c r="N15" s="103"/>
    </row>
    <row r="16" spans="1:15" ht="15" x14ac:dyDescent="0.25">
      <c r="A16" s="5" t="s">
        <v>6</v>
      </c>
      <c r="B16" s="5"/>
      <c r="C16" s="6">
        <f>C18+C20+C29+C39+C46</f>
        <v>-1269.5785100000103</v>
      </c>
      <c r="D16" s="6"/>
      <c r="E16" s="6">
        <f>E18+E20+E29+E39+E46</f>
        <v>47182.125310000003</v>
      </c>
      <c r="H16" s="6">
        <f>H18+H20+H29+H39+H46</f>
        <v>50272.774669999999</v>
      </c>
      <c r="K16" s="6">
        <f>K18+K20+K29+K39+K46</f>
        <v>-4353.8187800000069</v>
      </c>
      <c r="N16" s="6">
        <f>N18+N20+N29+N39+N46</f>
        <v>-5623.3972900000035</v>
      </c>
    </row>
    <row r="17" spans="1:16" ht="15" x14ac:dyDescent="0.25">
      <c r="A17" s="1"/>
      <c r="B17" s="1"/>
      <c r="C17" s="1"/>
      <c r="D17" s="1"/>
      <c r="E17" s="1"/>
      <c r="H17" s="1"/>
      <c r="K17" s="1"/>
      <c r="N17" s="1"/>
    </row>
    <row r="18" spans="1:16" ht="15" x14ac:dyDescent="0.25">
      <c r="A18" s="1" t="s">
        <v>7</v>
      </c>
      <c r="B18" s="1"/>
      <c r="C18" s="8">
        <v>-4991.6477400000003</v>
      </c>
      <c r="D18" s="9"/>
      <c r="E18" s="8">
        <v>-5060.5836399999998</v>
      </c>
      <c r="H18" s="8">
        <v>-5991.5134699999999</v>
      </c>
      <c r="K18" s="8">
        <v>-11303.510990000001</v>
      </c>
      <c r="N18" s="8">
        <v>-16295.158730000001</v>
      </c>
      <c r="P18" s="113">
        <v>1543</v>
      </c>
    </row>
    <row r="19" spans="1:16" ht="15" x14ac:dyDescent="0.25">
      <c r="A19" s="1"/>
      <c r="B19" s="1"/>
      <c r="C19" s="1"/>
      <c r="D19" s="1"/>
      <c r="E19" s="1"/>
      <c r="H19" s="1"/>
      <c r="K19" s="1"/>
      <c r="N19" s="1"/>
    </row>
    <row r="20" spans="1:16" ht="15" x14ac:dyDescent="0.25">
      <c r="A20" s="1" t="s">
        <v>8</v>
      </c>
      <c r="B20" s="1"/>
      <c r="C20" s="6">
        <f>SUM(C21:C26)</f>
        <v>3606.5750700000003</v>
      </c>
      <c r="D20" s="6"/>
      <c r="E20" s="6">
        <f>SUM(E21:E26)</f>
        <v>3777.3473199999999</v>
      </c>
      <c r="H20" s="6">
        <f>SUM(H21:H26)</f>
        <v>7654.2557500000003</v>
      </c>
      <c r="K20" s="6">
        <f>SUM(K21:K26)</f>
        <v>6465.81358</v>
      </c>
      <c r="N20" s="6">
        <f>SUM(N21:N26)</f>
        <v>10072.388650000001</v>
      </c>
    </row>
    <row r="21" spans="1:16" ht="15" x14ac:dyDescent="0.25">
      <c r="A21" s="1" t="s">
        <v>9</v>
      </c>
      <c r="B21" s="1"/>
      <c r="C21" s="8">
        <v>3794.0384800000002</v>
      </c>
      <c r="D21" s="9"/>
      <c r="E21" s="9">
        <v>3980.67562</v>
      </c>
      <c r="H21" s="9">
        <v>7997.3791200000005</v>
      </c>
      <c r="K21" s="9">
        <v>3922.5368899999999</v>
      </c>
      <c r="N21" s="9">
        <v>7716.5753699999996</v>
      </c>
    </row>
    <row r="22" spans="1:16" ht="15" x14ac:dyDescent="0.25">
      <c r="A22" s="1" t="s">
        <v>10</v>
      </c>
      <c r="B22" s="1"/>
      <c r="C22" s="8">
        <v>-187.46341000000001</v>
      </c>
      <c r="D22" s="10"/>
      <c r="E22" s="8">
        <v>-222.01273999999998</v>
      </c>
      <c r="F22" s="7"/>
      <c r="G22" s="7"/>
      <c r="H22" s="8">
        <v>-445.27835999999996</v>
      </c>
      <c r="K22" s="8">
        <v>-197.77529000000001</v>
      </c>
      <c r="N22" s="8">
        <v>-385.23869999999999</v>
      </c>
    </row>
    <row r="23" spans="1:16" ht="15" x14ac:dyDescent="0.25">
      <c r="A23" s="11" t="s">
        <v>11</v>
      </c>
      <c r="B23" s="11"/>
      <c r="C23" s="8">
        <v>0</v>
      </c>
      <c r="D23" s="10"/>
      <c r="E23" s="16">
        <v>18.684439999999999</v>
      </c>
      <c r="H23" s="8">
        <v>102.15499000000001</v>
      </c>
      <c r="K23" s="8">
        <v>0</v>
      </c>
      <c r="N23" s="8">
        <v>0</v>
      </c>
    </row>
    <row r="24" spans="1:16" ht="15" hidden="1" x14ac:dyDescent="0.25">
      <c r="A24" s="1" t="s">
        <v>12</v>
      </c>
      <c r="B24" s="1"/>
      <c r="C24" s="8"/>
      <c r="D24" s="9"/>
      <c r="E24" s="9"/>
      <c r="H24" s="9"/>
      <c r="K24" s="9">
        <v>0</v>
      </c>
      <c r="N24" s="9">
        <v>0</v>
      </c>
    </row>
    <row r="25" spans="1:16" ht="15" hidden="1" x14ac:dyDescent="0.25">
      <c r="A25" s="11" t="s">
        <v>13</v>
      </c>
      <c r="B25" s="11"/>
      <c r="C25" s="8"/>
      <c r="D25" s="10"/>
      <c r="E25" s="10"/>
      <c r="H25" s="10"/>
      <c r="K25" s="10">
        <v>0</v>
      </c>
      <c r="N25" s="10">
        <v>0</v>
      </c>
    </row>
    <row r="26" spans="1:16" ht="15" x14ac:dyDescent="0.25">
      <c r="A26" s="11" t="s">
        <v>14</v>
      </c>
      <c r="B26" s="11"/>
      <c r="C26" s="8"/>
      <c r="D26" s="9"/>
      <c r="E26" s="9" t="s">
        <v>45</v>
      </c>
      <c r="H26" s="9" t="s">
        <v>45</v>
      </c>
      <c r="K26" s="9">
        <v>2741.0519800000002</v>
      </c>
      <c r="N26" s="9">
        <v>2741.0519800000002</v>
      </c>
    </row>
    <row r="27" spans="1:16" ht="15" x14ac:dyDescent="0.25">
      <c r="A27" s="1"/>
      <c r="B27" s="1"/>
      <c r="C27" s="1"/>
      <c r="D27" s="1"/>
      <c r="E27" s="1"/>
      <c r="H27" s="1"/>
      <c r="K27" s="1"/>
      <c r="N27" s="1"/>
    </row>
    <row r="28" spans="1:16" ht="15" x14ac:dyDescent="0.25">
      <c r="A28" s="1"/>
      <c r="B28" s="1"/>
      <c r="C28" s="1"/>
      <c r="D28" s="1"/>
      <c r="E28" s="1"/>
      <c r="H28" s="1"/>
      <c r="K28" s="1"/>
      <c r="N28" s="1"/>
    </row>
    <row r="29" spans="1:16" ht="15" x14ac:dyDescent="0.25">
      <c r="A29" s="1" t="s">
        <v>15</v>
      </c>
      <c r="B29" s="1"/>
      <c r="C29" s="13">
        <f>SUM(C30:C37)</f>
        <v>914.52315999999018</v>
      </c>
      <c r="D29" s="14"/>
      <c r="E29" s="13">
        <f>SUM(E30:E37)</f>
        <v>534.11199000000022</v>
      </c>
      <c r="H29" s="13">
        <f>SUM(H30:H37)</f>
        <v>-772.90888000000007</v>
      </c>
      <c r="K29" s="13">
        <f>SUM(K30:K37)</f>
        <v>-366.84580000000005</v>
      </c>
      <c r="N29" s="13">
        <f>SUM(N30:N37)</f>
        <v>547.67735999999957</v>
      </c>
    </row>
    <row r="30" spans="1:16" ht="15" x14ac:dyDescent="0.25">
      <c r="A30" s="1" t="s">
        <v>16</v>
      </c>
      <c r="B30" s="1"/>
      <c r="C30" s="8">
        <v>1202.5902099999898</v>
      </c>
      <c r="D30" s="8"/>
      <c r="E30" s="8">
        <v>671.37962000000016</v>
      </c>
      <c r="H30" s="8">
        <v>92.080250000000007</v>
      </c>
      <c r="K30" s="8">
        <v>22.385159999999683</v>
      </c>
      <c r="N30" s="8">
        <v>1224.9753699999997</v>
      </c>
    </row>
    <row r="31" spans="1:16" ht="15" x14ac:dyDescent="0.25">
      <c r="A31" s="1" t="s">
        <v>17</v>
      </c>
      <c r="B31" s="1"/>
      <c r="C31" s="8">
        <v>10.448360000000008</v>
      </c>
      <c r="D31" s="8"/>
      <c r="E31" s="8">
        <v>57.11356</v>
      </c>
      <c r="H31" s="8">
        <v>59.376440000000002</v>
      </c>
      <c r="K31" s="8">
        <v>19.853819999999999</v>
      </c>
      <c r="N31" s="8">
        <v>30.30218</v>
      </c>
    </row>
    <row r="32" spans="1:16" ht="15" x14ac:dyDescent="0.25">
      <c r="A32" s="1" t="s">
        <v>18</v>
      </c>
      <c r="B32" s="1"/>
      <c r="C32" s="8">
        <v>-101.26374999999996</v>
      </c>
      <c r="D32" s="8"/>
      <c r="E32" s="8">
        <v>149.46552000000003</v>
      </c>
      <c r="H32" s="8">
        <v>-397.71604000000002</v>
      </c>
      <c r="K32" s="8">
        <v>111.45451000000001</v>
      </c>
      <c r="N32" s="8">
        <v>10.19076000000001</v>
      </c>
    </row>
    <row r="33" spans="1:14" ht="15" x14ac:dyDescent="0.25">
      <c r="A33" s="1" t="s">
        <v>19</v>
      </c>
      <c r="B33" s="1"/>
      <c r="C33" s="8">
        <v>0</v>
      </c>
      <c r="D33" s="8"/>
      <c r="E33" s="8">
        <v>0</v>
      </c>
      <c r="H33" s="8">
        <v>-36.236239999999988</v>
      </c>
      <c r="K33" s="8">
        <v>-315.74048999999997</v>
      </c>
      <c r="N33" s="8">
        <v>-315.74048999999997</v>
      </c>
    </row>
    <row r="34" spans="1:14" ht="15" x14ac:dyDescent="0.25">
      <c r="A34" s="1" t="s">
        <v>20</v>
      </c>
      <c r="B34" s="1"/>
      <c r="C34" s="8">
        <v>-278.10560999999984</v>
      </c>
      <c r="D34" s="8"/>
      <c r="E34" s="8">
        <v>-262.66769999999997</v>
      </c>
      <c r="H34" s="8">
        <v>-491.40027000000003</v>
      </c>
      <c r="I34" s="12"/>
      <c r="K34" s="8">
        <v>-228.52257999999983</v>
      </c>
      <c r="N34" s="8">
        <v>-506.62818999999996</v>
      </c>
    </row>
    <row r="35" spans="1:14" ht="15" x14ac:dyDescent="0.25">
      <c r="A35" s="1" t="s">
        <v>21</v>
      </c>
      <c r="B35" s="1"/>
      <c r="C35" s="8">
        <v>23.639269999999996</v>
      </c>
      <c r="D35" s="8"/>
      <c r="E35" s="8">
        <v>-6.8012499999999996</v>
      </c>
      <c r="H35" s="8">
        <v>1.2404500000000043</v>
      </c>
      <c r="K35" s="8">
        <v>11.004679999999993</v>
      </c>
      <c r="N35" s="8">
        <v>34.643949999999997</v>
      </c>
    </row>
    <row r="36" spans="1:14" ht="15" x14ac:dyDescent="0.25">
      <c r="A36" s="1" t="s">
        <v>22</v>
      </c>
      <c r="B36" s="1"/>
      <c r="C36" s="8">
        <v>72.657209999999992</v>
      </c>
      <c r="D36" s="8"/>
      <c r="E36" s="8">
        <v>-74.377760000000009</v>
      </c>
      <c r="H36" s="8">
        <v>-0.25347000000000114</v>
      </c>
      <c r="K36" s="8">
        <v>60.467600000000004</v>
      </c>
      <c r="N36" s="8">
        <v>133.12481</v>
      </c>
    </row>
    <row r="37" spans="1:14" ht="15" x14ac:dyDescent="0.25">
      <c r="A37" s="1" t="s">
        <v>23</v>
      </c>
      <c r="B37" s="1"/>
      <c r="C37" s="8">
        <f>-(-386.33985+401.78238)</f>
        <v>-15.442529999999977</v>
      </c>
      <c r="D37" s="8"/>
      <c r="E37" s="8">
        <v>0</v>
      </c>
      <c r="H37" s="8">
        <v>0</v>
      </c>
      <c r="K37" s="8">
        <v>-47.7485</v>
      </c>
      <c r="N37" s="8">
        <v>-63.191030000000026</v>
      </c>
    </row>
    <row r="38" spans="1:14" ht="15" x14ac:dyDescent="0.25">
      <c r="A38" s="1"/>
      <c r="B38" s="1"/>
      <c r="C38" s="1"/>
      <c r="D38" s="1"/>
      <c r="E38" s="1"/>
      <c r="H38" s="1"/>
      <c r="K38" s="1"/>
      <c r="N38" s="1"/>
    </row>
    <row r="39" spans="1:14" ht="15" x14ac:dyDescent="0.25">
      <c r="A39" s="1" t="s">
        <v>24</v>
      </c>
      <c r="B39" s="1"/>
      <c r="C39" s="6">
        <f>SUM(C40:C43)</f>
        <v>617.60626999999999</v>
      </c>
      <c r="D39" s="6"/>
      <c r="E39" s="6">
        <f>SUM(E40:E44)</f>
        <v>43965.147400000002</v>
      </c>
      <c r="H39" s="6">
        <f>SUM(H40:H44)</f>
        <v>44357.122309999999</v>
      </c>
      <c r="K39" s="6">
        <f>SUM(K40:K44)</f>
        <v>844.60402999999519</v>
      </c>
      <c r="N39" s="6">
        <f>SUM(N40:N44)</f>
        <v>1462.2102999999979</v>
      </c>
    </row>
    <row r="40" spans="1:14" ht="15" x14ac:dyDescent="0.25">
      <c r="A40" s="1" t="s">
        <v>25</v>
      </c>
      <c r="B40" s="1"/>
      <c r="C40" s="8">
        <v>-44.324160000000006</v>
      </c>
      <c r="D40" s="8"/>
      <c r="E40" s="8">
        <v>-23.428249999999998</v>
      </c>
      <c r="H40" s="8">
        <v>-50.383859999999984</v>
      </c>
      <c r="K40" s="8">
        <v>186.33801</v>
      </c>
      <c r="N40" s="8">
        <v>142.0138500000001</v>
      </c>
    </row>
    <row r="41" spans="1:14" ht="15" x14ac:dyDescent="0.25">
      <c r="A41" s="1" t="s">
        <v>26</v>
      </c>
      <c r="B41" s="1"/>
      <c r="C41" s="8">
        <v>2.9150200000000126</v>
      </c>
      <c r="D41" s="8"/>
      <c r="E41" s="8">
        <v>0</v>
      </c>
      <c r="H41" s="8">
        <v>0</v>
      </c>
      <c r="K41" s="8">
        <v>1.943679999999993</v>
      </c>
      <c r="N41" s="8">
        <v>4.8586999999999971</v>
      </c>
    </row>
    <row r="42" spans="1:14" ht="15" x14ac:dyDescent="0.25">
      <c r="A42" s="1" t="s">
        <v>27</v>
      </c>
      <c r="B42" s="1"/>
      <c r="C42" s="8">
        <v>-112.34821999999986</v>
      </c>
      <c r="D42" s="8"/>
      <c r="E42" s="8">
        <v>-465.50741999999991</v>
      </c>
      <c r="H42" s="8">
        <v>-586.03109000000029</v>
      </c>
      <c r="K42" s="8">
        <v>-114.17679000000004</v>
      </c>
      <c r="N42" s="8">
        <v>-226.52501000000024</v>
      </c>
    </row>
    <row r="43" spans="1:14" ht="15" x14ac:dyDescent="0.25">
      <c r="A43" s="1" t="s">
        <v>28</v>
      </c>
      <c r="B43" s="1"/>
      <c r="C43" s="8">
        <v>771.36362999999983</v>
      </c>
      <c r="D43" s="8"/>
      <c r="E43" s="8">
        <v>397.64977000000329</v>
      </c>
      <c r="H43" s="8">
        <v>937.10396000000094</v>
      </c>
      <c r="K43" s="8">
        <v>770.49912999999526</v>
      </c>
      <c r="N43" s="8">
        <v>1541.8627599999979</v>
      </c>
    </row>
    <row r="44" spans="1:14" ht="15" x14ac:dyDescent="0.25">
      <c r="A44" s="1" t="s">
        <v>1441</v>
      </c>
      <c r="B44" s="1"/>
      <c r="C44" s="8"/>
      <c r="D44" s="8"/>
      <c r="E44" s="8">
        <v>44056.433299999997</v>
      </c>
      <c r="H44" s="8">
        <v>44056.433299999997</v>
      </c>
      <c r="K44" s="8">
        <v>0</v>
      </c>
      <c r="N44" s="8">
        <v>0</v>
      </c>
    </row>
    <row r="45" spans="1:14" ht="15" x14ac:dyDescent="0.25">
      <c r="A45" s="1"/>
      <c r="B45" s="1"/>
      <c r="C45" s="1"/>
      <c r="D45" s="1"/>
      <c r="E45" s="1"/>
      <c r="H45" s="1"/>
      <c r="K45" s="1"/>
      <c r="N45" s="1"/>
    </row>
    <row r="46" spans="1:14" ht="15" x14ac:dyDescent="0.25">
      <c r="A46" s="1" t="s">
        <v>29</v>
      </c>
      <c r="B46" s="1"/>
      <c r="C46" s="6">
        <f>SUM(C47:C55)</f>
        <v>-1416.6352700000004</v>
      </c>
      <c r="D46" s="6"/>
      <c r="E46" s="6">
        <f>SUM(E47:E55)</f>
        <v>3966.1022400000015</v>
      </c>
      <c r="H46" s="6">
        <f>SUM(H47:H55)</f>
        <v>5025.8189599999996</v>
      </c>
      <c r="K46" s="6">
        <f>SUM(K47:K55)</f>
        <v>6.1203999999991368</v>
      </c>
      <c r="N46" s="6">
        <f>SUM(N47:N55)</f>
        <v>-1410.5148700000009</v>
      </c>
    </row>
    <row r="47" spans="1:14" ht="15" x14ac:dyDescent="0.25">
      <c r="A47" s="1" t="s">
        <v>30</v>
      </c>
      <c r="B47" s="1"/>
      <c r="C47" s="8">
        <v>-743.44182000000001</v>
      </c>
      <c r="D47" s="8"/>
      <c r="E47" s="8">
        <v>-302.88602999999989</v>
      </c>
      <c r="F47" s="12"/>
      <c r="G47" s="12"/>
      <c r="H47" s="8">
        <v>224.52805000000004</v>
      </c>
      <c r="K47" s="8">
        <v>-280.69520000000017</v>
      </c>
      <c r="N47" s="8">
        <v>-1024.1370200000001</v>
      </c>
    </row>
    <row r="48" spans="1:14" ht="15" x14ac:dyDescent="0.25">
      <c r="A48" s="1" t="s">
        <v>31</v>
      </c>
      <c r="B48" s="1"/>
      <c r="C48" s="8">
        <v>691.1069100000002</v>
      </c>
      <c r="D48" s="8"/>
      <c r="E48" s="8">
        <v>-347.70554000000004</v>
      </c>
      <c r="F48" s="12"/>
      <c r="G48" s="12"/>
      <c r="H48" s="8">
        <v>368.29166000000015</v>
      </c>
      <c r="K48" s="8">
        <v>49.759739999999759</v>
      </c>
      <c r="N48" s="8">
        <v>740.86664999999971</v>
      </c>
    </row>
    <row r="49" spans="1:14" ht="15" x14ac:dyDescent="0.25">
      <c r="A49" s="1" t="s">
        <v>32</v>
      </c>
      <c r="B49" s="1"/>
      <c r="C49" s="8">
        <v>-749.25295000000051</v>
      </c>
      <c r="D49" s="8"/>
      <c r="E49" s="8">
        <v>-48.235399999999444</v>
      </c>
      <c r="H49" s="8">
        <v>-148.00129999999982</v>
      </c>
      <c r="K49" s="8">
        <v>-82.203740000000224</v>
      </c>
      <c r="N49" s="8">
        <v>-831.45669000000044</v>
      </c>
    </row>
    <row r="50" spans="1:14" ht="15" x14ac:dyDescent="0.25">
      <c r="A50" s="1" t="s">
        <v>33</v>
      </c>
      <c r="B50" s="1"/>
      <c r="C50" s="15">
        <v>-161.4070899999997</v>
      </c>
      <c r="D50" s="8"/>
      <c r="E50" s="8">
        <v>4542.8913700000003</v>
      </c>
      <c r="H50" s="8">
        <v>4585.4574299999995</v>
      </c>
      <c r="K50" s="8">
        <v>-117.08945000000018</v>
      </c>
      <c r="N50" s="8">
        <v>-278.49654000000004</v>
      </c>
    </row>
    <row r="51" spans="1:14" ht="15" x14ac:dyDescent="0.25">
      <c r="A51" s="1" t="s">
        <v>34</v>
      </c>
      <c r="B51" s="1"/>
      <c r="C51" s="8">
        <v>-221.61881000000005</v>
      </c>
      <c r="D51" s="8"/>
      <c r="E51" s="8">
        <v>-29.044010000000011</v>
      </c>
      <c r="H51" s="8">
        <v>-173.77057000000002</v>
      </c>
      <c r="K51" s="8">
        <v>28.447619999999997</v>
      </c>
      <c r="N51" s="8">
        <v>-193.17119</v>
      </c>
    </row>
    <row r="52" spans="1:14" ht="15" x14ac:dyDescent="0.25">
      <c r="A52" s="1" t="s">
        <v>35</v>
      </c>
      <c r="B52" s="1"/>
      <c r="C52" s="8">
        <v>217.9684599999996</v>
      </c>
      <c r="D52" s="8"/>
      <c r="E52" s="8">
        <v>143.40989000000013</v>
      </c>
      <c r="H52" s="8">
        <v>311.6311399999999</v>
      </c>
      <c r="K52" s="8">
        <v>557.89126999999996</v>
      </c>
      <c r="N52" s="8">
        <v>775.85973000000001</v>
      </c>
    </row>
    <row r="53" spans="1:14" ht="15" hidden="1" x14ac:dyDescent="0.25">
      <c r="A53" s="1" t="s">
        <v>36</v>
      </c>
      <c r="B53" s="1"/>
      <c r="C53" s="8">
        <v>0</v>
      </c>
      <c r="D53" s="8"/>
      <c r="E53" s="8">
        <v>0</v>
      </c>
      <c r="H53" s="8">
        <v>0</v>
      </c>
      <c r="K53" s="8">
        <v>0</v>
      </c>
      <c r="N53" s="8">
        <v>0</v>
      </c>
    </row>
    <row r="54" spans="1:14" ht="15" x14ac:dyDescent="0.25">
      <c r="A54" s="1" t="s">
        <v>37</v>
      </c>
      <c r="B54" s="1"/>
      <c r="C54" s="8">
        <v>1.0030000000000427E-2</v>
      </c>
      <c r="D54" s="8"/>
      <c r="E54" s="8">
        <v>1.0740000000005238E-2</v>
      </c>
      <c r="H54" s="8">
        <v>2.1330000000001747E-2</v>
      </c>
      <c r="K54" s="8">
        <v>1.0160000000003493E-2</v>
      </c>
      <c r="N54" s="8">
        <v>2.0190000000002328E-2</v>
      </c>
    </row>
    <row r="55" spans="1:14" ht="15" x14ac:dyDescent="0.25">
      <c r="A55" s="1" t="s">
        <v>38</v>
      </c>
      <c r="B55" s="1"/>
      <c r="C55" s="8">
        <v>-449.99999999999989</v>
      </c>
      <c r="D55" s="10"/>
      <c r="E55" s="8">
        <v>7.6612199999999717</v>
      </c>
      <c r="H55" s="8">
        <v>-142.33878000000001</v>
      </c>
      <c r="K55" s="8">
        <v>-150</v>
      </c>
      <c r="N55" s="8">
        <v>-600</v>
      </c>
    </row>
    <row r="56" spans="1:14" ht="15" x14ac:dyDescent="0.25">
      <c r="A56" s="1"/>
      <c r="B56" s="1"/>
      <c r="C56" s="1"/>
      <c r="D56" s="1"/>
      <c r="E56" s="1"/>
      <c r="H56" s="1"/>
      <c r="K56" s="1"/>
      <c r="N56" s="1"/>
    </row>
    <row r="57" spans="1:14" ht="15" x14ac:dyDescent="0.25">
      <c r="A57" s="5" t="s">
        <v>39</v>
      </c>
      <c r="B57" s="5"/>
      <c r="C57" s="6">
        <f>SUM(C59:C65)</f>
        <v>-549.21375999999998</v>
      </c>
      <c r="D57" s="6"/>
      <c r="E57" s="6">
        <f>SUM(E59:E65)</f>
        <v>-230.625</v>
      </c>
      <c r="H57" s="6">
        <f>SUM(H59:H65)</f>
        <v>-230.625</v>
      </c>
      <c r="K57" s="6">
        <f>SUM(K59:K65)</f>
        <v>4455.2591400000001</v>
      </c>
      <c r="N57" s="6">
        <f>SUM(N59:N65)</f>
        <v>3906.0453800000005</v>
      </c>
    </row>
    <row r="58" spans="1:14" ht="15" x14ac:dyDescent="0.25">
      <c r="A58" s="1"/>
      <c r="B58" s="1"/>
      <c r="C58" s="1"/>
      <c r="D58" s="1"/>
      <c r="E58" s="1"/>
      <c r="H58" s="1"/>
      <c r="K58" s="1"/>
      <c r="N58" s="1"/>
    </row>
    <row r="59" spans="1:14" ht="15" hidden="1" x14ac:dyDescent="0.25">
      <c r="A59" s="1" t="s">
        <v>40</v>
      </c>
      <c r="B59" s="1"/>
      <c r="C59" s="1"/>
      <c r="D59" s="1"/>
      <c r="E59" s="1"/>
      <c r="H59" s="1"/>
      <c r="K59" s="1"/>
      <c r="N59" s="1"/>
    </row>
    <row r="60" spans="1:14" ht="15" x14ac:dyDescent="0.25">
      <c r="A60" s="1" t="s">
        <v>41</v>
      </c>
      <c r="B60" s="1"/>
      <c r="C60" s="8">
        <v>-549.21375999999998</v>
      </c>
      <c r="D60" s="8"/>
      <c r="E60" s="8">
        <v>-1.29</v>
      </c>
      <c r="H60" s="8">
        <v>-1.29</v>
      </c>
      <c r="K60" s="8">
        <v>-94.974399999999989</v>
      </c>
      <c r="N60" s="8">
        <v>-644.18815999999993</v>
      </c>
    </row>
    <row r="61" spans="1:14" ht="15" hidden="1" x14ac:dyDescent="0.25">
      <c r="A61" s="1" t="s">
        <v>42</v>
      </c>
      <c r="B61" s="1"/>
      <c r="D61" s="8"/>
      <c r="E61" s="8">
        <v>0</v>
      </c>
      <c r="H61" s="8">
        <v>0</v>
      </c>
      <c r="K61" s="8">
        <v>0</v>
      </c>
      <c r="N61" s="8">
        <v>0</v>
      </c>
    </row>
    <row r="62" spans="1:14" ht="15" x14ac:dyDescent="0.25">
      <c r="A62" s="1" t="s">
        <v>1597</v>
      </c>
      <c r="B62" s="1"/>
      <c r="C62" s="9"/>
      <c r="D62" s="9"/>
      <c r="E62" s="8">
        <v>0</v>
      </c>
      <c r="F62" s="8"/>
      <c r="G62" s="8"/>
      <c r="H62" s="8">
        <v>0</v>
      </c>
      <c r="K62" s="9">
        <v>4550.2335400000002</v>
      </c>
      <c r="L62" s="12"/>
      <c r="N62" s="9">
        <v>4550.2335400000002</v>
      </c>
    </row>
    <row r="63" spans="1:14" ht="15" hidden="1" x14ac:dyDescent="0.25">
      <c r="A63" s="1"/>
      <c r="B63" s="1"/>
      <c r="C63" s="9"/>
      <c r="D63" s="9"/>
      <c r="E63" s="9">
        <v>0</v>
      </c>
      <c r="H63" s="9">
        <v>0</v>
      </c>
      <c r="K63" s="9"/>
      <c r="N63" s="9"/>
    </row>
    <row r="64" spans="1:14" ht="15" x14ac:dyDescent="0.25">
      <c r="A64" s="1" t="s">
        <v>43</v>
      </c>
      <c r="B64" s="1"/>
      <c r="C64" s="8"/>
      <c r="D64" s="8"/>
      <c r="E64" s="8">
        <v>-229.33500000000001</v>
      </c>
      <c r="H64" s="8">
        <v>-229.33500000000001</v>
      </c>
      <c r="K64" s="8">
        <v>0</v>
      </c>
      <c r="N64" s="8">
        <v>0</v>
      </c>
    </row>
    <row r="65" spans="1:14" ht="15" x14ac:dyDescent="0.25">
      <c r="A65" s="1" t="s">
        <v>44</v>
      </c>
      <c r="B65" s="1"/>
      <c r="C65" s="10" t="s">
        <v>45</v>
      </c>
      <c r="D65" s="10"/>
      <c r="E65" s="10"/>
      <c r="H65" s="10"/>
      <c r="K65" s="10"/>
      <c r="N65" s="10"/>
    </row>
    <row r="66" spans="1:14" ht="15" x14ac:dyDescent="0.25">
      <c r="A66" s="1"/>
      <c r="B66" s="1"/>
      <c r="C66" s="1"/>
      <c r="D66" s="1"/>
      <c r="E66" s="1"/>
      <c r="H66" s="1"/>
      <c r="K66" s="1"/>
      <c r="N66" s="1"/>
    </row>
    <row r="67" spans="1:14" ht="15" x14ac:dyDescent="0.25">
      <c r="A67" s="5" t="s">
        <v>46</v>
      </c>
      <c r="B67" s="5"/>
      <c r="C67" s="6">
        <f>SUM(C69:C70)</f>
        <v>21.205469999999998</v>
      </c>
      <c r="D67" s="6"/>
      <c r="E67" s="6">
        <f>SUM(E69:E74)</f>
        <v>-45036.539279999997</v>
      </c>
      <c r="H67" s="6">
        <f>SUM(H69:H74)</f>
        <v>-45021.709210000001</v>
      </c>
      <c r="K67" s="6">
        <f>SUM(K69:K74)</f>
        <v>21.531590000000083</v>
      </c>
      <c r="N67" s="6">
        <f>SUM(N69:N74)</f>
        <v>42.737060000000056</v>
      </c>
    </row>
    <row r="68" spans="1:14" ht="15" x14ac:dyDescent="0.25">
      <c r="A68" s="1"/>
      <c r="B68" s="1"/>
      <c r="C68" s="1"/>
      <c r="D68" s="1"/>
      <c r="E68" s="1"/>
      <c r="H68" s="1"/>
      <c r="K68" s="1"/>
      <c r="N68" s="1"/>
    </row>
    <row r="69" spans="1:14" ht="15" x14ac:dyDescent="0.25">
      <c r="A69" s="1" t="s">
        <v>47</v>
      </c>
      <c r="B69" s="1"/>
      <c r="C69" s="10" t="s">
        <v>45</v>
      </c>
      <c r="D69" s="10"/>
      <c r="E69" s="10"/>
      <c r="H69" s="10" t="s">
        <v>45</v>
      </c>
      <c r="K69" s="10" t="s">
        <v>45</v>
      </c>
      <c r="N69" s="10" t="s">
        <v>45</v>
      </c>
    </row>
    <row r="70" spans="1:14" ht="15" x14ac:dyDescent="0.25">
      <c r="A70" s="1" t="s">
        <v>48</v>
      </c>
      <c r="B70" s="1"/>
      <c r="C70" s="16">
        <v>21.205469999999998</v>
      </c>
      <c r="D70" s="16"/>
      <c r="E70" s="16">
        <v>10.931719999999972</v>
      </c>
      <c r="H70" s="16">
        <v>25.761789999999806</v>
      </c>
      <c r="K70" s="16">
        <v>21.531590000000083</v>
      </c>
      <c r="N70" s="16">
        <v>42.737060000000056</v>
      </c>
    </row>
    <row r="71" spans="1:14" ht="15" x14ac:dyDescent="0.25">
      <c r="A71" s="1" t="s">
        <v>1423</v>
      </c>
      <c r="B71" s="1"/>
      <c r="C71" s="8"/>
      <c r="D71" s="10"/>
      <c r="E71" s="8">
        <v>-7657.7569999999996</v>
      </c>
      <c r="F71" s="7"/>
      <c r="G71" s="7"/>
      <c r="H71" s="8">
        <v>-7657.7569999999996</v>
      </c>
      <c r="K71" s="8">
        <v>0</v>
      </c>
      <c r="N71" s="8">
        <v>0</v>
      </c>
    </row>
    <row r="72" spans="1:14" ht="15" x14ac:dyDescent="0.25">
      <c r="A72" s="1" t="s">
        <v>1440</v>
      </c>
      <c r="B72" s="1"/>
      <c r="C72" s="8"/>
      <c r="D72" s="10"/>
      <c r="E72" s="8">
        <v>-37389.714</v>
      </c>
      <c r="H72" s="8">
        <v>-37389.714</v>
      </c>
      <c r="K72" s="8">
        <v>0</v>
      </c>
      <c r="N72" s="8">
        <v>0</v>
      </c>
    </row>
    <row r="73" spans="1:14" ht="15" x14ac:dyDescent="0.25">
      <c r="A73" s="1"/>
      <c r="B73" s="1"/>
      <c r="C73" s="16"/>
      <c r="D73" s="16"/>
      <c r="E73" s="16"/>
      <c r="H73" s="16"/>
      <c r="K73" s="16"/>
      <c r="N73" s="16"/>
    </row>
    <row r="74" spans="1:14" ht="15" x14ac:dyDescent="0.25">
      <c r="A74" s="1"/>
      <c r="B74" s="1"/>
      <c r="C74" s="8"/>
      <c r="D74" s="10"/>
      <c r="E74" s="8"/>
      <c r="H74" s="8"/>
      <c r="K74" s="8"/>
      <c r="N74" s="8"/>
    </row>
    <row r="75" spans="1:14" ht="15" x14ac:dyDescent="0.25">
      <c r="A75" s="1"/>
      <c r="B75" s="1"/>
      <c r="C75" s="1"/>
      <c r="D75" s="1"/>
      <c r="E75" s="1"/>
      <c r="H75" s="1"/>
      <c r="K75" s="1"/>
      <c r="N75" s="1"/>
    </row>
    <row r="76" spans="1:14" ht="15" x14ac:dyDescent="0.25">
      <c r="A76" s="475" t="s">
        <v>49</v>
      </c>
      <c r="B76" s="116"/>
      <c r="C76" s="17">
        <f>C79-C78</f>
        <v>-1797.5868</v>
      </c>
      <c r="D76" s="17"/>
      <c r="E76" s="17">
        <f>E79-E78</f>
        <v>1914.9610300000004</v>
      </c>
      <c r="H76" s="17">
        <f>H79-H78</f>
        <v>5020.4404599999998</v>
      </c>
      <c r="K76" s="17">
        <f>K79-K78</f>
        <v>122.97194999999988</v>
      </c>
      <c r="N76" s="17">
        <f>N79-N78</f>
        <v>-1674.6148499999997</v>
      </c>
    </row>
    <row r="77" spans="1:14" ht="15" x14ac:dyDescent="0.25">
      <c r="A77" s="476"/>
      <c r="C77" s="1"/>
      <c r="D77" s="1"/>
      <c r="E77" s="1"/>
      <c r="H77" s="1"/>
      <c r="K77" s="1"/>
      <c r="N77" s="1"/>
    </row>
    <row r="78" spans="1:14" ht="15" x14ac:dyDescent="0.25">
      <c r="A78" s="1" t="s">
        <v>50</v>
      </c>
      <c r="B78" s="1"/>
      <c r="C78" s="8">
        <v>3648.9640300000001</v>
      </c>
      <c r="D78" s="9"/>
      <c r="E78" s="9">
        <v>6432.4195999999993</v>
      </c>
      <c r="H78" s="9">
        <v>3326.9401699999999</v>
      </c>
      <c r="K78" s="9">
        <v>1851.3772300000001</v>
      </c>
      <c r="N78" s="9">
        <v>3648.9640299999996</v>
      </c>
    </row>
    <row r="79" spans="1:14" ht="15" x14ac:dyDescent="0.25">
      <c r="A79" s="1" t="s">
        <v>51</v>
      </c>
      <c r="B79" s="1"/>
      <c r="C79" s="9">
        <v>1851.3772300000001</v>
      </c>
      <c r="D79" s="9"/>
      <c r="E79" s="9">
        <v>8347.3806299999997</v>
      </c>
      <c r="H79" s="9">
        <v>8347.3806299999997</v>
      </c>
      <c r="K79" s="9">
        <v>1974.3491799999999</v>
      </c>
      <c r="N79" s="9">
        <v>1974.3491799999999</v>
      </c>
    </row>
    <row r="80" spans="1:14" ht="15" x14ac:dyDescent="0.25">
      <c r="A80" s="1"/>
      <c r="B80" s="1"/>
      <c r="C80" s="1"/>
      <c r="D80" s="1"/>
      <c r="E80" s="1"/>
      <c r="H80" s="1"/>
      <c r="K80" s="1"/>
      <c r="N80" s="1"/>
    </row>
    <row r="81" spans="1:14" ht="15" x14ac:dyDescent="0.25">
      <c r="A81" s="5" t="s">
        <v>52</v>
      </c>
      <c r="B81" s="5"/>
      <c r="C81" s="18">
        <f>C67+C57+C16</f>
        <v>-1797.5868000000103</v>
      </c>
      <c r="D81" s="18"/>
      <c r="E81" s="18">
        <f>E67+E57+E16</f>
        <v>1914.9610300000058</v>
      </c>
      <c r="H81" s="18">
        <f>H67+H57+H16</f>
        <v>5020.440459999998</v>
      </c>
      <c r="K81" s="18">
        <f>K67+K57+K16</f>
        <v>122.97194999999374</v>
      </c>
      <c r="N81" s="18">
        <f>N67+N57+N16</f>
        <v>-1674.6148500000031</v>
      </c>
    </row>
    <row r="82" spans="1:14" ht="15" x14ac:dyDescent="0.25">
      <c r="A82" s="1"/>
      <c r="B82" s="1"/>
      <c r="C82" s="1"/>
      <c r="D82" s="1"/>
      <c r="H82" s="1"/>
      <c r="K82" s="1"/>
      <c r="N82" s="1"/>
    </row>
    <row r="83" spans="1:14" ht="15" x14ac:dyDescent="0.25">
      <c r="A83" s="1"/>
      <c r="B83" s="1"/>
      <c r="C83" s="19"/>
      <c r="D83" s="19"/>
      <c r="E83" s="19"/>
      <c r="H83" s="19"/>
      <c r="K83" s="19"/>
      <c r="N83" s="19"/>
    </row>
    <row r="84" spans="1:14" ht="15" x14ac:dyDescent="0.25">
      <c r="A84" s="1"/>
      <c r="B84" s="1"/>
      <c r="C84" s="1"/>
      <c r="D84" s="1"/>
      <c r="H84" s="1"/>
      <c r="K84" s="1"/>
    </row>
    <row r="85" spans="1:14" ht="15" x14ac:dyDescent="0.25">
      <c r="A85" s="1"/>
      <c r="B85" s="1"/>
      <c r="C85" s="1"/>
      <c r="D85" s="1"/>
      <c r="H85" s="1"/>
      <c r="K85" s="1"/>
    </row>
    <row r="86" spans="1:14" ht="15" x14ac:dyDescent="0.25">
      <c r="A86" s="477" t="s">
        <v>53</v>
      </c>
      <c r="B86" s="477"/>
      <c r="C86" s="477"/>
      <c r="D86" s="477"/>
      <c r="E86" s="477"/>
      <c r="F86" s="477"/>
      <c r="G86" s="477"/>
      <c r="H86" s="477"/>
      <c r="I86" s="477"/>
      <c r="J86" s="477"/>
      <c r="K86" s="477"/>
      <c r="L86" s="477"/>
      <c r="M86" s="477"/>
      <c r="N86" s="477"/>
    </row>
    <row r="90" spans="1:14" x14ac:dyDescent="0.2">
      <c r="H90" s="26"/>
      <c r="K90" s="26"/>
    </row>
  </sheetData>
  <mergeCells count="8">
    <mergeCell ref="A76:A77"/>
    <mergeCell ref="A86:N86"/>
    <mergeCell ref="A1:C1"/>
    <mergeCell ref="A2:C2"/>
    <mergeCell ref="A4:C4"/>
    <mergeCell ref="A6:N6"/>
    <mergeCell ref="A7:N7"/>
    <mergeCell ref="A8:N8"/>
  </mergeCells>
  <pageMargins left="0.51181102362204722" right="0.51181102362204722" top="0.78740157480314965" bottom="0.78740157480314965" header="0.31496062992125984" footer="0.31496062992125984"/>
  <pageSetup paperSize="9" scale="7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topLeftCell="D43" zoomScale="136" zoomScaleNormal="136" workbookViewId="0">
      <selection activeCell="F51" sqref="F51"/>
    </sheetView>
  </sheetViews>
  <sheetFormatPr defaultRowHeight="12.75" x14ac:dyDescent="0.2"/>
  <cols>
    <col min="1" max="1" width="13.85546875" style="158" customWidth="1"/>
    <col min="2" max="2" width="2.140625" style="158" customWidth="1"/>
    <col min="3" max="3" width="23.5703125" style="158" customWidth="1"/>
    <col min="4" max="4" width="26.85546875" style="158" customWidth="1"/>
    <col min="5" max="5" width="16.140625" style="158" customWidth="1"/>
    <col min="6" max="6" width="15.42578125" style="158" customWidth="1"/>
    <col min="7" max="7" width="2.140625" style="158" customWidth="1"/>
    <col min="8" max="8" width="14" style="158" customWidth="1"/>
    <col min="9" max="9" width="2.140625" style="158" customWidth="1"/>
    <col min="10" max="10" width="15.42578125" style="158" customWidth="1"/>
    <col min="11" max="11" width="13.42578125" style="158" bestFit="1" customWidth="1"/>
    <col min="12" max="12" width="9.140625" style="26"/>
    <col min="13" max="14" width="9.140625" style="158"/>
    <col min="15" max="15" width="13" style="158" bestFit="1" customWidth="1"/>
    <col min="16" max="256" width="9.140625" style="158"/>
    <col min="257" max="257" width="13.85546875" style="158" customWidth="1"/>
    <col min="258" max="258" width="2.140625" style="158" customWidth="1"/>
    <col min="259" max="259" width="23.5703125" style="158" customWidth="1"/>
    <col min="260" max="260" width="26.85546875" style="158" customWidth="1"/>
    <col min="261" max="261" width="16.140625" style="158" customWidth="1"/>
    <col min="262" max="262" width="15.42578125" style="158" customWidth="1"/>
    <col min="263" max="263" width="2.140625" style="158" customWidth="1"/>
    <col min="264" max="264" width="14" style="158" customWidth="1"/>
    <col min="265" max="265" width="2.140625" style="158" customWidth="1"/>
    <col min="266" max="266" width="15.42578125" style="158" customWidth="1"/>
    <col min="267" max="267" width="13.42578125" style="158" bestFit="1" customWidth="1"/>
    <col min="268" max="512" width="9.140625" style="158"/>
    <col min="513" max="513" width="13.85546875" style="158" customWidth="1"/>
    <col min="514" max="514" width="2.140625" style="158" customWidth="1"/>
    <col min="515" max="515" width="23.5703125" style="158" customWidth="1"/>
    <col min="516" max="516" width="26.85546875" style="158" customWidth="1"/>
    <col min="517" max="517" width="16.140625" style="158" customWidth="1"/>
    <col min="518" max="518" width="15.42578125" style="158" customWidth="1"/>
    <col min="519" max="519" width="2.140625" style="158" customWidth="1"/>
    <col min="520" max="520" width="14" style="158" customWidth="1"/>
    <col min="521" max="521" width="2.140625" style="158" customWidth="1"/>
    <col min="522" max="522" width="15.42578125" style="158" customWidth="1"/>
    <col min="523" max="523" width="13.42578125" style="158" bestFit="1" customWidth="1"/>
    <col min="524" max="768" width="9.140625" style="158"/>
    <col min="769" max="769" width="13.85546875" style="158" customWidth="1"/>
    <col min="770" max="770" width="2.140625" style="158" customWidth="1"/>
    <col min="771" max="771" width="23.5703125" style="158" customWidth="1"/>
    <col min="772" max="772" width="26.85546875" style="158" customWidth="1"/>
    <col min="773" max="773" width="16.140625" style="158" customWidth="1"/>
    <col min="774" max="774" width="15.42578125" style="158" customWidth="1"/>
    <col min="775" max="775" width="2.140625" style="158" customWidth="1"/>
    <col min="776" max="776" width="14" style="158" customWidth="1"/>
    <col min="777" max="777" width="2.140625" style="158" customWidth="1"/>
    <col min="778" max="778" width="15.42578125" style="158" customWidth="1"/>
    <col min="779" max="779" width="13.42578125" style="158" bestFit="1" customWidth="1"/>
    <col min="780" max="1024" width="9.140625" style="158"/>
    <col min="1025" max="1025" width="13.85546875" style="158" customWidth="1"/>
    <col min="1026" max="1026" width="2.140625" style="158" customWidth="1"/>
    <col min="1027" max="1027" width="23.5703125" style="158" customWidth="1"/>
    <col min="1028" max="1028" width="26.85546875" style="158" customWidth="1"/>
    <col min="1029" max="1029" width="16.140625" style="158" customWidth="1"/>
    <col min="1030" max="1030" width="15.42578125" style="158" customWidth="1"/>
    <col min="1031" max="1031" width="2.140625" style="158" customWidth="1"/>
    <col min="1032" max="1032" width="14" style="158" customWidth="1"/>
    <col min="1033" max="1033" width="2.140625" style="158" customWidth="1"/>
    <col min="1034" max="1034" width="15.42578125" style="158" customWidth="1"/>
    <col min="1035" max="1035" width="13.42578125" style="158" bestFit="1" customWidth="1"/>
    <col min="1036" max="1280" width="9.140625" style="158"/>
    <col min="1281" max="1281" width="13.85546875" style="158" customWidth="1"/>
    <col min="1282" max="1282" width="2.140625" style="158" customWidth="1"/>
    <col min="1283" max="1283" width="23.5703125" style="158" customWidth="1"/>
    <col min="1284" max="1284" width="26.85546875" style="158" customWidth="1"/>
    <col min="1285" max="1285" width="16.140625" style="158" customWidth="1"/>
    <col min="1286" max="1286" width="15.42578125" style="158" customWidth="1"/>
    <col min="1287" max="1287" width="2.140625" style="158" customWidth="1"/>
    <col min="1288" max="1288" width="14" style="158" customWidth="1"/>
    <col min="1289" max="1289" width="2.140625" style="158" customWidth="1"/>
    <col min="1290" max="1290" width="15.42578125" style="158" customWidth="1"/>
    <col min="1291" max="1291" width="13.42578125" style="158" bestFit="1" customWidth="1"/>
    <col min="1292" max="1536" width="9.140625" style="158"/>
    <col min="1537" max="1537" width="13.85546875" style="158" customWidth="1"/>
    <col min="1538" max="1538" width="2.140625" style="158" customWidth="1"/>
    <col min="1539" max="1539" width="23.5703125" style="158" customWidth="1"/>
    <col min="1540" max="1540" width="26.85546875" style="158" customWidth="1"/>
    <col min="1541" max="1541" width="16.140625" style="158" customWidth="1"/>
    <col min="1542" max="1542" width="15.42578125" style="158" customWidth="1"/>
    <col min="1543" max="1543" width="2.140625" style="158" customWidth="1"/>
    <col min="1544" max="1544" width="14" style="158" customWidth="1"/>
    <col min="1545" max="1545" width="2.140625" style="158" customWidth="1"/>
    <col min="1546" max="1546" width="15.42578125" style="158" customWidth="1"/>
    <col min="1547" max="1547" width="13.42578125" style="158" bestFit="1" customWidth="1"/>
    <col min="1548" max="1792" width="9.140625" style="158"/>
    <col min="1793" max="1793" width="13.85546875" style="158" customWidth="1"/>
    <col min="1794" max="1794" width="2.140625" style="158" customWidth="1"/>
    <col min="1795" max="1795" width="23.5703125" style="158" customWidth="1"/>
    <col min="1796" max="1796" width="26.85546875" style="158" customWidth="1"/>
    <col min="1797" max="1797" width="16.140625" style="158" customWidth="1"/>
    <col min="1798" max="1798" width="15.42578125" style="158" customWidth="1"/>
    <col min="1799" max="1799" width="2.140625" style="158" customWidth="1"/>
    <col min="1800" max="1800" width="14" style="158" customWidth="1"/>
    <col min="1801" max="1801" width="2.140625" style="158" customWidth="1"/>
    <col min="1802" max="1802" width="15.42578125" style="158" customWidth="1"/>
    <col min="1803" max="1803" width="13.42578125" style="158" bestFit="1" customWidth="1"/>
    <col min="1804" max="2048" width="9.140625" style="158"/>
    <col min="2049" max="2049" width="13.85546875" style="158" customWidth="1"/>
    <col min="2050" max="2050" width="2.140625" style="158" customWidth="1"/>
    <col min="2051" max="2051" width="23.5703125" style="158" customWidth="1"/>
    <col min="2052" max="2052" width="26.85546875" style="158" customWidth="1"/>
    <col min="2053" max="2053" width="16.140625" style="158" customWidth="1"/>
    <col min="2054" max="2054" width="15.42578125" style="158" customWidth="1"/>
    <col min="2055" max="2055" width="2.140625" style="158" customWidth="1"/>
    <col min="2056" max="2056" width="14" style="158" customWidth="1"/>
    <col min="2057" max="2057" width="2.140625" style="158" customWidth="1"/>
    <col min="2058" max="2058" width="15.42578125" style="158" customWidth="1"/>
    <col min="2059" max="2059" width="13.42578125" style="158" bestFit="1" customWidth="1"/>
    <col min="2060" max="2304" width="9.140625" style="158"/>
    <col min="2305" max="2305" width="13.85546875" style="158" customWidth="1"/>
    <col min="2306" max="2306" width="2.140625" style="158" customWidth="1"/>
    <col min="2307" max="2307" width="23.5703125" style="158" customWidth="1"/>
    <col min="2308" max="2308" width="26.85546875" style="158" customWidth="1"/>
    <col min="2309" max="2309" width="16.140625" style="158" customWidth="1"/>
    <col min="2310" max="2310" width="15.42578125" style="158" customWidth="1"/>
    <col min="2311" max="2311" width="2.140625" style="158" customWidth="1"/>
    <col min="2312" max="2312" width="14" style="158" customWidth="1"/>
    <col min="2313" max="2313" width="2.140625" style="158" customWidth="1"/>
    <col min="2314" max="2314" width="15.42578125" style="158" customWidth="1"/>
    <col min="2315" max="2315" width="13.42578125" style="158" bestFit="1" customWidth="1"/>
    <col min="2316" max="2560" width="9.140625" style="158"/>
    <col min="2561" max="2561" width="13.85546875" style="158" customWidth="1"/>
    <col min="2562" max="2562" width="2.140625" style="158" customWidth="1"/>
    <col min="2563" max="2563" width="23.5703125" style="158" customWidth="1"/>
    <col min="2564" max="2564" width="26.85546875" style="158" customWidth="1"/>
    <col min="2565" max="2565" width="16.140625" style="158" customWidth="1"/>
    <col min="2566" max="2566" width="15.42578125" style="158" customWidth="1"/>
    <col min="2567" max="2567" width="2.140625" style="158" customWidth="1"/>
    <col min="2568" max="2568" width="14" style="158" customWidth="1"/>
    <col min="2569" max="2569" width="2.140625" style="158" customWidth="1"/>
    <col min="2570" max="2570" width="15.42578125" style="158" customWidth="1"/>
    <col min="2571" max="2571" width="13.42578125" style="158" bestFit="1" customWidth="1"/>
    <col min="2572" max="2816" width="9.140625" style="158"/>
    <col min="2817" max="2817" width="13.85546875" style="158" customWidth="1"/>
    <col min="2818" max="2818" width="2.140625" style="158" customWidth="1"/>
    <col min="2819" max="2819" width="23.5703125" style="158" customWidth="1"/>
    <col min="2820" max="2820" width="26.85546875" style="158" customWidth="1"/>
    <col min="2821" max="2821" width="16.140625" style="158" customWidth="1"/>
    <col min="2822" max="2822" width="15.42578125" style="158" customWidth="1"/>
    <col min="2823" max="2823" width="2.140625" style="158" customWidth="1"/>
    <col min="2824" max="2824" width="14" style="158" customWidth="1"/>
    <col min="2825" max="2825" width="2.140625" style="158" customWidth="1"/>
    <col min="2826" max="2826" width="15.42578125" style="158" customWidth="1"/>
    <col min="2827" max="2827" width="13.42578125" style="158" bestFit="1" customWidth="1"/>
    <col min="2828" max="3072" width="9.140625" style="158"/>
    <col min="3073" max="3073" width="13.85546875" style="158" customWidth="1"/>
    <col min="3074" max="3074" width="2.140625" style="158" customWidth="1"/>
    <col min="3075" max="3075" width="23.5703125" style="158" customWidth="1"/>
    <col min="3076" max="3076" width="26.85546875" style="158" customWidth="1"/>
    <col min="3077" max="3077" width="16.140625" style="158" customWidth="1"/>
    <col min="3078" max="3078" width="15.42578125" style="158" customWidth="1"/>
    <col min="3079" max="3079" width="2.140625" style="158" customWidth="1"/>
    <col min="3080" max="3080" width="14" style="158" customWidth="1"/>
    <col min="3081" max="3081" width="2.140625" style="158" customWidth="1"/>
    <col min="3082" max="3082" width="15.42578125" style="158" customWidth="1"/>
    <col min="3083" max="3083" width="13.42578125" style="158" bestFit="1" customWidth="1"/>
    <col min="3084" max="3328" width="9.140625" style="158"/>
    <col min="3329" max="3329" width="13.85546875" style="158" customWidth="1"/>
    <col min="3330" max="3330" width="2.140625" style="158" customWidth="1"/>
    <col min="3331" max="3331" width="23.5703125" style="158" customWidth="1"/>
    <col min="3332" max="3332" width="26.85546875" style="158" customWidth="1"/>
    <col min="3333" max="3333" width="16.140625" style="158" customWidth="1"/>
    <col min="3334" max="3334" width="15.42578125" style="158" customWidth="1"/>
    <col min="3335" max="3335" width="2.140625" style="158" customWidth="1"/>
    <col min="3336" max="3336" width="14" style="158" customWidth="1"/>
    <col min="3337" max="3337" width="2.140625" style="158" customWidth="1"/>
    <col min="3338" max="3338" width="15.42578125" style="158" customWidth="1"/>
    <col min="3339" max="3339" width="13.42578125" style="158" bestFit="1" customWidth="1"/>
    <col min="3340" max="3584" width="9.140625" style="158"/>
    <col min="3585" max="3585" width="13.85546875" style="158" customWidth="1"/>
    <col min="3586" max="3586" width="2.140625" style="158" customWidth="1"/>
    <col min="3587" max="3587" width="23.5703125" style="158" customWidth="1"/>
    <col min="3588" max="3588" width="26.85546875" style="158" customWidth="1"/>
    <col min="3589" max="3589" width="16.140625" style="158" customWidth="1"/>
    <col min="3590" max="3590" width="15.42578125" style="158" customWidth="1"/>
    <col min="3591" max="3591" width="2.140625" style="158" customWidth="1"/>
    <col min="3592" max="3592" width="14" style="158" customWidth="1"/>
    <col min="3593" max="3593" width="2.140625" style="158" customWidth="1"/>
    <col min="3594" max="3594" width="15.42578125" style="158" customWidth="1"/>
    <col min="3595" max="3595" width="13.42578125" style="158" bestFit="1" customWidth="1"/>
    <col min="3596" max="3840" width="9.140625" style="158"/>
    <col min="3841" max="3841" width="13.85546875" style="158" customWidth="1"/>
    <col min="3842" max="3842" width="2.140625" style="158" customWidth="1"/>
    <col min="3843" max="3843" width="23.5703125" style="158" customWidth="1"/>
    <col min="3844" max="3844" width="26.85546875" style="158" customWidth="1"/>
    <col min="3845" max="3845" width="16.140625" style="158" customWidth="1"/>
    <col min="3846" max="3846" width="15.42578125" style="158" customWidth="1"/>
    <col min="3847" max="3847" width="2.140625" style="158" customWidth="1"/>
    <col min="3848" max="3848" width="14" style="158" customWidth="1"/>
    <col min="3849" max="3849" width="2.140625" style="158" customWidth="1"/>
    <col min="3850" max="3850" width="15.42578125" style="158" customWidth="1"/>
    <col min="3851" max="3851" width="13.42578125" style="158" bestFit="1" customWidth="1"/>
    <col min="3852" max="4096" width="9.140625" style="158"/>
    <col min="4097" max="4097" width="13.85546875" style="158" customWidth="1"/>
    <col min="4098" max="4098" width="2.140625" style="158" customWidth="1"/>
    <col min="4099" max="4099" width="23.5703125" style="158" customWidth="1"/>
    <col min="4100" max="4100" width="26.85546875" style="158" customWidth="1"/>
    <col min="4101" max="4101" width="16.140625" style="158" customWidth="1"/>
    <col min="4102" max="4102" width="15.42578125" style="158" customWidth="1"/>
    <col min="4103" max="4103" width="2.140625" style="158" customWidth="1"/>
    <col min="4104" max="4104" width="14" style="158" customWidth="1"/>
    <col min="4105" max="4105" width="2.140625" style="158" customWidth="1"/>
    <col min="4106" max="4106" width="15.42578125" style="158" customWidth="1"/>
    <col min="4107" max="4107" width="13.42578125" style="158" bestFit="1" customWidth="1"/>
    <col min="4108" max="4352" width="9.140625" style="158"/>
    <col min="4353" max="4353" width="13.85546875" style="158" customWidth="1"/>
    <col min="4354" max="4354" width="2.140625" style="158" customWidth="1"/>
    <col min="4355" max="4355" width="23.5703125" style="158" customWidth="1"/>
    <col min="4356" max="4356" width="26.85546875" style="158" customWidth="1"/>
    <col min="4357" max="4357" width="16.140625" style="158" customWidth="1"/>
    <col min="4358" max="4358" width="15.42578125" style="158" customWidth="1"/>
    <col min="4359" max="4359" width="2.140625" style="158" customWidth="1"/>
    <col min="4360" max="4360" width="14" style="158" customWidth="1"/>
    <col min="4361" max="4361" width="2.140625" style="158" customWidth="1"/>
    <col min="4362" max="4362" width="15.42578125" style="158" customWidth="1"/>
    <col min="4363" max="4363" width="13.42578125" style="158" bestFit="1" customWidth="1"/>
    <col min="4364" max="4608" width="9.140625" style="158"/>
    <col min="4609" max="4609" width="13.85546875" style="158" customWidth="1"/>
    <col min="4610" max="4610" width="2.140625" style="158" customWidth="1"/>
    <col min="4611" max="4611" width="23.5703125" style="158" customWidth="1"/>
    <col min="4612" max="4612" width="26.85546875" style="158" customWidth="1"/>
    <col min="4613" max="4613" width="16.140625" style="158" customWidth="1"/>
    <col min="4614" max="4614" width="15.42578125" style="158" customWidth="1"/>
    <col min="4615" max="4615" width="2.140625" style="158" customWidth="1"/>
    <col min="4616" max="4616" width="14" style="158" customWidth="1"/>
    <col min="4617" max="4617" width="2.140625" style="158" customWidth="1"/>
    <col min="4618" max="4618" width="15.42578125" style="158" customWidth="1"/>
    <col min="4619" max="4619" width="13.42578125" style="158" bestFit="1" customWidth="1"/>
    <col min="4620" max="4864" width="9.140625" style="158"/>
    <col min="4865" max="4865" width="13.85546875" style="158" customWidth="1"/>
    <col min="4866" max="4866" width="2.140625" style="158" customWidth="1"/>
    <col min="4867" max="4867" width="23.5703125" style="158" customWidth="1"/>
    <col min="4868" max="4868" width="26.85546875" style="158" customWidth="1"/>
    <col min="4869" max="4869" width="16.140625" style="158" customWidth="1"/>
    <col min="4870" max="4870" width="15.42578125" style="158" customWidth="1"/>
    <col min="4871" max="4871" width="2.140625" style="158" customWidth="1"/>
    <col min="4872" max="4872" width="14" style="158" customWidth="1"/>
    <col min="4873" max="4873" width="2.140625" style="158" customWidth="1"/>
    <col min="4874" max="4874" width="15.42578125" style="158" customWidth="1"/>
    <col min="4875" max="4875" width="13.42578125" style="158" bestFit="1" customWidth="1"/>
    <col min="4876" max="5120" width="9.140625" style="158"/>
    <col min="5121" max="5121" width="13.85546875" style="158" customWidth="1"/>
    <col min="5122" max="5122" width="2.140625" style="158" customWidth="1"/>
    <col min="5123" max="5123" width="23.5703125" style="158" customWidth="1"/>
    <col min="5124" max="5124" width="26.85546875" style="158" customWidth="1"/>
    <col min="5125" max="5125" width="16.140625" style="158" customWidth="1"/>
    <col min="5126" max="5126" width="15.42578125" style="158" customWidth="1"/>
    <col min="5127" max="5127" width="2.140625" style="158" customWidth="1"/>
    <col min="5128" max="5128" width="14" style="158" customWidth="1"/>
    <col min="5129" max="5129" width="2.140625" style="158" customWidth="1"/>
    <col min="5130" max="5130" width="15.42578125" style="158" customWidth="1"/>
    <col min="5131" max="5131" width="13.42578125" style="158" bestFit="1" customWidth="1"/>
    <col min="5132" max="5376" width="9.140625" style="158"/>
    <col min="5377" max="5377" width="13.85546875" style="158" customWidth="1"/>
    <col min="5378" max="5378" width="2.140625" style="158" customWidth="1"/>
    <col min="5379" max="5379" width="23.5703125" style="158" customWidth="1"/>
    <col min="5380" max="5380" width="26.85546875" style="158" customWidth="1"/>
    <col min="5381" max="5381" width="16.140625" style="158" customWidth="1"/>
    <col min="5382" max="5382" width="15.42578125" style="158" customWidth="1"/>
    <col min="5383" max="5383" width="2.140625" style="158" customWidth="1"/>
    <col min="5384" max="5384" width="14" style="158" customWidth="1"/>
    <col min="5385" max="5385" width="2.140625" style="158" customWidth="1"/>
    <col min="5386" max="5386" width="15.42578125" style="158" customWidth="1"/>
    <col min="5387" max="5387" width="13.42578125" style="158" bestFit="1" customWidth="1"/>
    <col min="5388" max="5632" width="9.140625" style="158"/>
    <col min="5633" max="5633" width="13.85546875" style="158" customWidth="1"/>
    <col min="5634" max="5634" width="2.140625" style="158" customWidth="1"/>
    <col min="5635" max="5635" width="23.5703125" style="158" customWidth="1"/>
    <col min="5636" max="5636" width="26.85546875" style="158" customWidth="1"/>
    <col min="5637" max="5637" width="16.140625" style="158" customWidth="1"/>
    <col min="5638" max="5638" width="15.42578125" style="158" customWidth="1"/>
    <col min="5639" max="5639" width="2.140625" style="158" customWidth="1"/>
    <col min="5640" max="5640" width="14" style="158" customWidth="1"/>
    <col min="5641" max="5641" width="2.140625" style="158" customWidth="1"/>
    <col min="5642" max="5642" width="15.42578125" style="158" customWidth="1"/>
    <col min="5643" max="5643" width="13.42578125" style="158" bestFit="1" customWidth="1"/>
    <col min="5644" max="5888" width="9.140625" style="158"/>
    <col min="5889" max="5889" width="13.85546875" style="158" customWidth="1"/>
    <col min="5890" max="5890" width="2.140625" style="158" customWidth="1"/>
    <col min="5891" max="5891" width="23.5703125" style="158" customWidth="1"/>
    <col min="5892" max="5892" width="26.85546875" style="158" customWidth="1"/>
    <col min="5893" max="5893" width="16.140625" style="158" customWidth="1"/>
    <col min="5894" max="5894" width="15.42578125" style="158" customWidth="1"/>
    <col min="5895" max="5895" width="2.140625" style="158" customWidth="1"/>
    <col min="5896" max="5896" width="14" style="158" customWidth="1"/>
    <col min="5897" max="5897" width="2.140625" style="158" customWidth="1"/>
    <col min="5898" max="5898" width="15.42578125" style="158" customWidth="1"/>
    <col min="5899" max="5899" width="13.42578125" style="158" bestFit="1" customWidth="1"/>
    <col min="5900" max="6144" width="9.140625" style="158"/>
    <col min="6145" max="6145" width="13.85546875" style="158" customWidth="1"/>
    <col min="6146" max="6146" width="2.140625" style="158" customWidth="1"/>
    <col min="6147" max="6147" width="23.5703125" style="158" customWidth="1"/>
    <col min="6148" max="6148" width="26.85546875" style="158" customWidth="1"/>
    <col min="6149" max="6149" width="16.140625" style="158" customWidth="1"/>
    <col min="6150" max="6150" width="15.42578125" style="158" customWidth="1"/>
    <col min="6151" max="6151" width="2.140625" style="158" customWidth="1"/>
    <col min="6152" max="6152" width="14" style="158" customWidth="1"/>
    <col min="6153" max="6153" width="2.140625" style="158" customWidth="1"/>
    <col min="6154" max="6154" width="15.42578125" style="158" customWidth="1"/>
    <col min="6155" max="6155" width="13.42578125" style="158" bestFit="1" customWidth="1"/>
    <col min="6156" max="6400" width="9.140625" style="158"/>
    <col min="6401" max="6401" width="13.85546875" style="158" customWidth="1"/>
    <col min="6402" max="6402" width="2.140625" style="158" customWidth="1"/>
    <col min="6403" max="6403" width="23.5703125" style="158" customWidth="1"/>
    <col min="6404" max="6404" width="26.85546875" style="158" customWidth="1"/>
    <col min="6405" max="6405" width="16.140625" style="158" customWidth="1"/>
    <col min="6406" max="6406" width="15.42578125" style="158" customWidth="1"/>
    <col min="6407" max="6407" width="2.140625" style="158" customWidth="1"/>
    <col min="6408" max="6408" width="14" style="158" customWidth="1"/>
    <col min="6409" max="6409" width="2.140625" style="158" customWidth="1"/>
    <col min="6410" max="6410" width="15.42578125" style="158" customWidth="1"/>
    <col min="6411" max="6411" width="13.42578125" style="158" bestFit="1" customWidth="1"/>
    <col min="6412" max="6656" width="9.140625" style="158"/>
    <col min="6657" max="6657" width="13.85546875" style="158" customWidth="1"/>
    <col min="6658" max="6658" width="2.140625" style="158" customWidth="1"/>
    <col min="6659" max="6659" width="23.5703125" style="158" customWidth="1"/>
    <col min="6660" max="6660" width="26.85546875" style="158" customWidth="1"/>
    <col min="6661" max="6661" width="16.140625" style="158" customWidth="1"/>
    <col min="6662" max="6662" width="15.42578125" style="158" customWidth="1"/>
    <col min="6663" max="6663" width="2.140625" style="158" customWidth="1"/>
    <col min="6664" max="6664" width="14" style="158" customWidth="1"/>
    <col min="6665" max="6665" width="2.140625" style="158" customWidth="1"/>
    <col min="6666" max="6666" width="15.42578125" style="158" customWidth="1"/>
    <col min="6667" max="6667" width="13.42578125" style="158" bestFit="1" customWidth="1"/>
    <col min="6668" max="6912" width="9.140625" style="158"/>
    <col min="6913" max="6913" width="13.85546875" style="158" customWidth="1"/>
    <col min="6914" max="6914" width="2.140625" style="158" customWidth="1"/>
    <col min="6915" max="6915" width="23.5703125" style="158" customWidth="1"/>
    <col min="6916" max="6916" width="26.85546875" style="158" customWidth="1"/>
    <col min="6917" max="6917" width="16.140625" style="158" customWidth="1"/>
    <col min="6918" max="6918" width="15.42578125" style="158" customWidth="1"/>
    <col min="6919" max="6919" width="2.140625" style="158" customWidth="1"/>
    <col min="6920" max="6920" width="14" style="158" customWidth="1"/>
    <col min="6921" max="6921" width="2.140625" style="158" customWidth="1"/>
    <col min="6922" max="6922" width="15.42578125" style="158" customWidth="1"/>
    <col min="6923" max="6923" width="13.42578125" style="158" bestFit="1" customWidth="1"/>
    <col min="6924" max="7168" width="9.140625" style="158"/>
    <col min="7169" max="7169" width="13.85546875" style="158" customWidth="1"/>
    <col min="7170" max="7170" width="2.140625" style="158" customWidth="1"/>
    <col min="7171" max="7171" width="23.5703125" style="158" customWidth="1"/>
    <col min="7172" max="7172" width="26.85546875" style="158" customWidth="1"/>
    <col min="7173" max="7173" width="16.140625" style="158" customWidth="1"/>
    <col min="7174" max="7174" width="15.42578125" style="158" customWidth="1"/>
    <col min="7175" max="7175" width="2.140625" style="158" customWidth="1"/>
    <col min="7176" max="7176" width="14" style="158" customWidth="1"/>
    <col min="7177" max="7177" width="2.140625" style="158" customWidth="1"/>
    <col min="7178" max="7178" width="15.42578125" style="158" customWidth="1"/>
    <col min="7179" max="7179" width="13.42578125" style="158" bestFit="1" customWidth="1"/>
    <col min="7180" max="7424" width="9.140625" style="158"/>
    <col min="7425" max="7425" width="13.85546875" style="158" customWidth="1"/>
    <col min="7426" max="7426" width="2.140625" style="158" customWidth="1"/>
    <col min="7427" max="7427" width="23.5703125" style="158" customWidth="1"/>
    <col min="7428" max="7428" width="26.85546875" style="158" customWidth="1"/>
    <col min="7429" max="7429" width="16.140625" style="158" customWidth="1"/>
    <col min="7430" max="7430" width="15.42578125" style="158" customWidth="1"/>
    <col min="7431" max="7431" width="2.140625" style="158" customWidth="1"/>
    <col min="7432" max="7432" width="14" style="158" customWidth="1"/>
    <col min="7433" max="7433" width="2.140625" style="158" customWidth="1"/>
    <col min="7434" max="7434" width="15.42578125" style="158" customWidth="1"/>
    <col min="7435" max="7435" width="13.42578125" style="158" bestFit="1" customWidth="1"/>
    <col min="7436" max="7680" width="9.140625" style="158"/>
    <col min="7681" max="7681" width="13.85546875" style="158" customWidth="1"/>
    <col min="7682" max="7682" width="2.140625" style="158" customWidth="1"/>
    <col min="7683" max="7683" width="23.5703125" style="158" customWidth="1"/>
    <col min="7684" max="7684" width="26.85546875" style="158" customWidth="1"/>
    <col min="7685" max="7685" width="16.140625" style="158" customWidth="1"/>
    <col min="7686" max="7686" width="15.42578125" style="158" customWidth="1"/>
    <col min="7687" max="7687" width="2.140625" style="158" customWidth="1"/>
    <col min="7688" max="7688" width="14" style="158" customWidth="1"/>
    <col min="7689" max="7689" width="2.140625" style="158" customWidth="1"/>
    <col min="7690" max="7690" width="15.42578125" style="158" customWidth="1"/>
    <col min="7691" max="7691" width="13.42578125" style="158" bestFit="1" customWidth="1"/>
    <col min="7692" max="7936" width="9.140625" style="158"/>
    <col min="7937" max="7937" width="13.85546875" style="158" customWidth="1"/>
    <col min="7938" max="7938" width="2.140625" style="158" customWidth="1"/>
    <col min="7939" max="7939" width="23.5703125" style="158" customWidth="1"/>
    <col min="7940" max="7940" width="26.85546875" style="158" customWidth="1"/>
    <col min="7941" max="7941" width="16.140625" style="158" customWidth="1"/>
    <col min="7942" max="7942" width="15.42578125" style="158" customWidth="1"/>
    <col min="7943" max="7943" width="2.140625" style="158" customWidth="1"/>
    <col min="7944" max="7944" width="14" style="158" customWidth="1"/>
    <col min="7945" max="7945" width="2.140625" style="158" customWidth="1"/>
    <col min="7946" max="7946" width="15.42578125" style="158" customWidth="1"/>
    <col min="7947" max="7947" width="13.42578125" style="158" bestFit="1" customWidth="1"/>
    <col min="7948" max="8192" width="9.140625" style="158"/>
    <col min="8193" max="8193" width="13.85546875" style="158" customWidth="1"/>
    <col min="8194" max="8194" width="2.140625" style="158" customWidth="1"/>
    <col min="8195" max="8195" width="23.5703125" style="158" customWidth="1"/>
    <col min="8196" max="8196" width="26.85546875" style="158" customWidth="1"/>
    <col min="8197" max="8197" width="16.140625" style="158" customWidth="1"/>
    <col min="8198" max="8198" width="15.42578125" style="158" customWidth="1"/>
    <col min="8199" max="8199" width="2.140625" style="158" customWidth="1"/>
    <col min="8200" max="8200" width="14" style="158" customWidth="1"/>
    <col min="8201" max="8201" width="2.140625" style="158" customWidth="1"/>
    <col min="8202" max="8202" width="15.42578125" style="158" customWidth="1"/>
    <col min="8203" max="8203" width="13.42578125" style="158" bestFit="1" customWidth="1"/>
    <col min="8204" max="8448" width="9.140625" style="158"/>
    <col min="8449" max="8449" width="13.85546875" style="158" customWidth="1"/>
    <col min="8450" max="8450" width="2.140625" style="158" customWidth="1"/>
    <col min="8451" max="8451" width="23.5703125" style="158" customWidth="1"/>
    <col min="8452" max="8452" width="26.85546875" style="158" customWidth="1"/>
    <col min="8453" max="8453" width="16.140625" style="158" customWidth="1"/>
    <col min="8454" max="8454" width="15.42578125" style="158" customWidth="1"/>
    <col min="8455" max="8455" width="2.140625" style="158" customWidth="1"/>
    <col min="8456" max="8456" width="14" style="158" customWidth="1"/>
    <col min="8457" max="8457" width="2.140625" style="158" customWidth="1"/>
    <col min="8458" max="8458" width="15.42578125" style="158" customWidth="1"/>
    <col min="8459" max="8459" width="13.42578125" style="158" bestFit="1" customWidth="1"/>
    <col min="8460" max="8704" width="9.140625" style="158"/>
    <col min="8705" max="8705" width="13.85546875" style="158" customWidth="1"/>
    <col min="8706" max="8706" width="2.140625" style="158" customWidth="1"/>
    <col min="8707" max="8707" width="23.5703125" style="158" customWidth="1"/>
    <col min="8708" max="8708" width="26.85546875" style="158" customWidth="1"/>
    <col min="8709" max="8709" width="16.140625" style="158" customWidth="1"/>
    <col min="8710" max="8710" width="15.42578125" style="158" customWidth="1"/>
    <col min="8711" max="8711" width="2.140625" style="158" customWidth="1"/>
    <col min="8712" max="8712" width="14" style="158" customWidth="1"/>
    <col min="8713" max="8713" width="2.140625" style="158" customWidth="1"/>
    <col min="8714" max="8714" width="15.42578125" style="158" customWidth="1"/>
    <col min="8715" max="8715" width="13.42578125" style="158" bestFit="1" customWidth="1"/>
    <col min="8716" max="8960" width="9.140625" style="158"/>
    <col min="8961" max="8961" width="13.85546875" style="158" customWidth="1"/>
    <col min="8962" max="8962" width="2.140625" style="158" customWidth="1"/>
    <col min="8963" max="8963" width="23.5703125" style="158" customWidth="1"/>
    <col min="8964" max="8964" width="26.85546875" style="158" customWidth="1"/>
    <col min="8965" max="8965" width="16.140625" style="158" customWidth="1"/>
    <col min="8966" max="8966" width="15.42578125" style="158" customWidth="1"/>
    <col min="8967" max="8967" width="2.140625" style="158" customWidth="1"/>
    <col min="8968" max="8968" width="14" style="158" customWidth="1"/>
    <col min="8969" max="8969" width="2.140625" style="158" customWidth="1"/>
    <col min="8970" max="8970" width="15.42578125" style="158" customWidth="1"/>
    <col min="8971" max="8971" width="13.42578125" style="158" bestFit="1" customWidth="1"/>
    <col min="8972" max="9216" width="9.140625" style="158"/>
    <col min="9217" max="9217" width="13.85546875" style="158" customWidth="1"/>
    <col min="9218" max="9218" width="2.140625" style="158" customWidth="1"/>
    <col min="9219" max="9219" width="23.5703125" style="158" customWidth="1"/>
    <col min="9220" max="9220" width="26.85546875" style="158" customWidth="1"/>
    <col min="9221" max="9221" width="16.140625" style="158" customWidth="1"/>
    <col min="9222" max="9222" width="15.42578125" style="158" customWidth="1"/>
    <col min="9223" max="9223" width="2.140625" style="158" customWidth="1"/>
    <col min="9224" max="9224" width="14" style="158" customWidth="1"/>
    <col min="9225" max="9225" width="2.140625" style="158" customWidth="1"/>
    <col min="9226" max="9226" width="15.42578125" style="158" customWidth="1"/>
    <col min="9227" max="9227" width="13.42578125" style="158" bestFit="1" customWidth="1"/>
    <col min="9228" max="9472" width="9.140625" style="158"/>
    <col min="9473" max="9473" width="13.85546875" style="158" customWidth="1"/>
    <col min="9474" max="9474" width="2.140625" style="158" customWidth="1"/>
    <col min="9475" max="9475" width="23.5703125" style="158" customWidth="1"/>
    <col min="9476" max="9476" width="26.85546875" style="158" customWidth="1"/>
    <col min="9477" max="9477" width="16.140625" style="158" customWidth="1"/>
    <col min="9478" max="9478" width="15.42578125" style="158" customWidth="1"/>
    <col min="9479" max="9479" width="2.140625" style="158" customWidth="1"/>
    <col min="9480" max="9480" width="14" style="158" customWidth="1"/>
    <col min="9481" max="9481" width="2.140625" style="158" customWidth="1"/>
    <col min="9482" max="9482" width="15.42578125" style="158" customWidth="1"/>
    <col min="9483" max="9483" width="13.42578125" style="158" bestFit="1" customWidth="1"/>
    <col min="9484" max="9728" width="9.140625" style="158"/>
    <col min="9729" max="9729" width="13.85546875" style="158" customWidth="1"/>
    <col min="9730" max="9730" width="2.140625" style="158" customWidth="1"/>
    <col min="9731" max="9731" width="23.5703125" style="158" customWidth="1"/>
    <col min="9732" max="9732" width="26.85546875" style="158" customWidth="1"/>
    <col min="9733" max="9733" width="16.140625" style="158" customWidth="1"/>
    <col min="9734" max="9734" width="15.42578125" style="158" customWidth="1"/>
    <col min="9735" max="9735" width="2.140625" style="158" customWidth="1"/>
    <col min="9736" max="9736" width="14" style="158" customWidth="1"/>
    <col min="9737" max="9737" width="2.140625" style="158" customWidth="1"/>
    <col min="9738" max="9738" width="15.42578125" style="158" customWidth="1"/>
    <col min="9739" max="9739" width="13.42578125" style="158" bestFit="1" customWidth="1"/>
    <col min="9740" max="9984" width="9.140625" style="158"/>
    <col min="9985" max="9985" width="13.85546875" style="158" customWidth="1"/>
    <col min="9986" max="9986" width="2.140625" style="158" customWidth="1"/>
    <col min="9987" max="9987" width="23.5703125" style="158" customWidth="1"/>
    <col min="9988" max="9988" width="26.85546875" style="158" customWidth="1"/>
    <col min="9989" max="9989" width="16.140625" style="158" customWidth="1"/>
    <col min="9990" max="9990" width="15.42578125" style="158" customWidth="1"/>
    <col min="9991" max="9991" width="2.140625" style="158" customWidth="1"/>
    <col min="9992" max="9992" width="14" style="158" customWidth="1"/>
    <col min="9993" max="9993" width="2.140625" style="158" customWidth="1"/>
    <col min="9994" max="9994" width="15.42578125" style="158" customWidth="1"/>
    <col min="9995" max="9995" width="13.42578125" style="158" bestFit="1" customWidth="1"/>
    <col min="9996" max="10240" width="9.140625" style="158"/>
    <col min="10241" max="10241" width="13.85546875" style="158" customWidth="1"/>
    <col min="10242" max="10242" width="2.140625" style="158" customWidth="1"/>
    <col min="10243" max="10243" width="23.5703125" style="158" customWidth="1"/>
    <col min="10244" max="10244" width="26.85546875" style="158" customWidth="1"/>
    <col min="10245" max="10245" width="16.140625" style="158" customWidth="1"/>
    <col min="10246" max="10246" width="15.42578125" style="158" customWidth="1"/>
    <col min="10247" max="10247" width="2.140625" style="158" customWidth="1"/>
    <col min="10248" max="10248" width="14" style="158" customWidth="1"/>
    <col min="10249" max="10249" width="2.140625" style="158" customWidth="1"/>
    <col min="10250" max="10250" width="15.42578125" style="158" customWidth="1"/>
    <col min="10251" max="10251" width="13.42578125" style="158" bestFit="1" customWidth="1"/>
    <col min="10252" max="10496" width="9.140625" style="158"/>
    <col min="10497" max="10497" width="13.85546875" style="158" customWidth="1"/>
    <col min="10498" max="10498" width="2.140625" style="158" customWidth="1"/>
    <col min="10499" max="10499" width="23.5703125" style="158" customWidth="1"/>
    <col min="10500" max="10500" width="26.85546875" style="158" customWidth="1"/>
    <col min="10501" max="10501" width="16.140625" style="158" customWidth="1"/>
    <col min="10502" max="10502" width="15.42578125" style="158" customWidth="1"/>
    <col min="10503" max="10503" width="2.140625" style="158" customWidth="1"/>
    <col min="10504" max="10504" width="14" style="158" customWidth="1"/>
    <col min="10505" max="10505" width="2.140625" style="158" customWidth="1"/>
    <col min="10506" max="10506" width="15.42578125" style="158" customWidth="1"/>
    <col min="10507" max="10507" width="13.42578125" style="158" bestFit="1" customWidth="1"/>
    <col min="10508" max="10752" width="9.140625" style="158"/>
    <col min="10753" max="10753" width="13.85546875" style="158" customWidth="1"/>
    <col min="10754" max="10754" width="2.140625" style="158" customWidth="1"/>
    <col min="10755" max="10755" width="23.5703125" style="158" customWidth="1"/>
    <col min="10756" max="10756" width="26.85546875" style="158" customWidth="1"/>
    <col min="10757" max="10757" width="16.140625" style="158" customWidth="1"/>
    <col min="10758" max="10758" width="15.42578125" style="158" customWidth="1"/>
    <col min="10759" max="10759" width="2.140625" style="158" customWidth="1"/>
    <col min="10760" max="10760" width="14" style="158" customWidth="1"/>
    <col min="10761" max="10761" width="2.140625" style="158" customWidth="1"/>
    <col min="10762" max="10762" width="15.42578125" style="158" customWidth="1"/>
    <col min="10763" max="10763" width="13.42578125" style="158" bestFit="1" customWidth="1"/>
    <col min="10764" max="11008" width="9.140625" style="158"/>
    <col min="11009" max="11009" width="13.85546875" style="158" customWidth="1"/>
    <col min="11010" max="11010" width="2.140625" style="158" customWidth="1"/>
    <col min="11011" max="11011" width="23.5703125" style="158" customWidth="1"/>
    <col min="11012" max="11012" width="26.85546875" style="158" customWidth="1"/>
    <col min="11013" max="11013" width="16.140625" style="158" customWidth="1"/>
    <col min="11014" max="11014" width="15.42578125" style="158" customWidth="1"/>
    <col min="11015" max="11015" width="2.140625" style="158" customWidth="1"/>
    <col min="11016" max="11016" width="14" style="158" customWidth="1"/>
    <col min="11017" max="11017" width="2.140625" style="158" customWidth="1"/>
    <col min="11018" max="11018" width="15.42578125" style="158" customWidth="1"/>
    <col min="11019" max="11019" width="13.42578125" style="158" bestFit="1" customWidth="1"/>
    <col min="11020" max="11264" width="9.140625" style="158"/>
    <col min="11265" max="11265" width="13.85546875" style="158" customWidth="1"/>
    <col min="11266" max="11266" width="2.140625" style="158" customWidth="1"/>
    <col min="11267" max="11267" width="23.5703125" style="158" customWidth="1"/>
    <col min="11268" max="11268" width="26.85546875" style="158" customWidth="1"/>
    <col min="11269" max="11269" width="16.140625" style="158" customWidth="1"/>
    <col min="11270" max="11270" width="15.42578125" style="158" customWidth="1"/>
    <col min="11271" max="11271" width="2.140625" style="158" customWidth="1"/>
    <col min="11272" max="11272" width="14" style="158" customWidth="1"/>
    <col min="11273" max="11273" width="2.140625" style="158" customWidth="1"/>
    <col min="11274" max="11274" width="15.42578125" style="158" customWidth="1"/>
    <col min="11275" max="11275" width="13.42578125" style="158" bestFit="1" customWidth="1"/>
    <col min="11276" max="11520" width="9.140625" style="158"/>
    <col min="11521" max="11521" width="13.85546875" style="158" customWidth="1"/>
    <col min="11522" max="11522" width="2.140625" style="158" customWidth="1"/>
    <col min="11523" max="11523" width="23.5703125" style="158" customWidth="1"/>
    <col min="11524" max="11524" width="26.85546875" style="158" customWidth="1"/>
    <col min="11525" max="11525" width="16.140625" style="158" customWidth="1"/>
    <col min="11526" max="11526" width="15.42578125" style="158" customWidth="1"/>
    <col min="11527" max="11527" width="2.140625" style="158" customWidth="1"/>
    <col min="11528" max="11528" width="14" style="158" customWidth="1"/>
    <col min="11529" max="11529" width="2.140625" style="158" customWidth="1"/>
    <col min="11530" max="11530" width="15.42578125" style="158" customWidth="1"/>
    <col min="11531" max="11531" width="13.42578125" style="158" bestFit="1" customWidth="1"/>
    <col min="11532" max="11776" width="9.140625" style="158"/>
    <col min="11777" max="11777" width="13.85546875" style="158" customWidth="1"/>
    <col min="11778" max="11778" width="2.140625" style="158" customWidth="1"/>
    <col min="11779" max="11779" width="23.5703125" style="158" customWidth="1"/>
    <col min="11780" max="11780" width="26.85546875" style="158" customWidth="1"/>
    <col min="11781" max="11781" width="16.140625" style="158" customWidth="1"/>
    <col min="11782" max="11782" width="15.42578125" style="158" customWidth="1"/>
    <col min="11783" max="11783" width="2.140625" style="158" customWidth="1"/>
    <col min="11784" max="11784" width="14" style="158" customWidth="1"/>
    <col min="11785" max="11785" width="2.140625" style="158" customWidth="1"/>
    <col min="11786" max="11786" width="15.42578125" style="158" customWidth="1"/>
    <col min="11787" max="11787" width="13.42578125" style="158" bestFit="1" customWidth="1"/>
    <col min="11788" max="12032" width="9.140625" style="158"/>
    <col min="12033" max="12033" width="13.85546875" style="158" customWidth="1"/>
    <col min="12034" max="12034" width="2.140625" style="158" customWidth="1"/>
    <col min="12035" max="12035" width="23.5703125" style="158" customWidth="1"/>
    <col min="12036" max="12036" width="26.85546875" style="158" customWidth="1"/>
    <col min="12037" max="12037" width="16.140625" style="158" customWidth="1"/>
    <col min="12038" max="12038" width="15.42578125" style="158" customWidth="1"/>
    <col min="12039" max="12039" width="2.140625" style="158" customWidth="1"/>
    <col min="12040" max="12040" width="14" style="158" customWidth="1"/>
    <col min="12041" max="12041" width="2.140625" style="158" customWidth="1"/>
    <col min="12042" max="12042" width="15.42578125" style="158" customWidth="1"/>
    <col min="12043" max="12043" width="13.42578125" style="158" bestFit="1" customWidth="1"/>
    <col min="12044" max="12288" width="9.140625" style="158"/>
    <col min="12289" max="12289" width="13.85546875" style="158" customWidth="1"/>
    <col min="12290" max="12290" width="2.140625" style="158" customWidth="1"/>
    <col min="12291" max="12291" width="23.5703125" style="158" customWidth="1"/>
    <col min="12292" max="12292" width="26.85546875" style="158" customWidth="1"/>
    <col min="12293" max="12293" width="16.140625" style="158" customWidth="1"/>
    <col min="12294" max="12294" width="15.42578125" style="158" customWidth="1"/>
    <col min="12295" max="12295" width="2.140625" style="158" customWidth="1"/>
    <col min="12296" max="12296" width="14" style="158" customWidth="1"/>
    <col min="12297" max="12297" width="2.140625" style="158" customWidth="1"/>
    <col min="12298" max="12298" width="15.42578125" style="158" customWidth="1"/>
    <col min="12299" max="12299" width="13.42578125" style="158" bestFit="1" customWidth="1"/>
    <col min="12300" max="12544" width="9.140625" style="158"/>
    <col min="12545" max="12545" width="13.85546875" style="158" customWidth="1"/>
    <col min="12546" max="12546" width="2.140625" style="158" customWidth="1"/>
    <col min="12547" max="12547" width="23.5703125" style="158" customWidth="1"/>
    <col min="12548" max="12548" width="26.85546875" style="158" customWidth="1"/>
    <col min="12549" max="12549" width="16.140625" style="158" customWidth="1"/>
    <col min="12550" max="12550" width="15.42578125" style="158" customWidth="1"/>
    <col min="12551" max="12551" width="2.140625" style="158" customWidth="1"/>
    <col min="12552" max="12552" width="14" style="158" customWidth="1"/>
    <col min="12553" max="12553" width="2.140625" style="158" customWidth="1"/>
    <col min="12554" max="12554" width="15.42578125" style="158" customWidth="1"/>
    <col min="12555" max="12555" width="13.42578125" style="158" bestFit="1" customWidth="1"/>
    <col min="12556" max="12800" width="9.140625" style="158"/>
    <col min="12801" max="12801" width="13.85546875" style="158" customWidth="1"/>
    <col min="12802" max="12802" width="2.140625" style="158" customWidth="1"/>
    <col min="12803" max="12803" width="23.5703125" style="158" customWidth="1"/>
    <col min="12804" max="12804" width="26.85546875" style="158" customWidth="1"/>
    <col min="12805" max="12805" width="16.140625" style="158" customWidth="1"/>
    <col min="12806" max="12806" width="15.42578125" style="158" customWidth="1"/>
    <col min="12807" max="12807" width="2.140625" style="158" customWidth="1"/>
    <col min="12808" max="12808" width="14" style="158" customWidth="1"/>
    <col min="12809" max="12809" width="2.140625" style="158" customWidth="1"/>
    <col min="12810" max="12810" width="15.42578125" style="158" customWidth="1"/>
    <col min="12811" max="12811" width="13.42578125" style="158" bestFit="1" customWidth="1"/>
    <col min="12812" max="13056" width="9.140625" style="158"/>
    <col min="13057" max="13057" width="13.85546875" style="158" customWidth="1"/>
    <col min="13058" max="13058" width="2.140625" style="158" customWidth="1"/>
    <col min="13059" max="13059" width="23.5703125" style="158" customWidth="1"/>
    <col min="13060" max="13060" width="26.85546875" style="158" customWidth="1"/>
    <col min="13061" max="13061" width="16.140625" style="158" customWidth="1"/>
    <col min="13062" max="13062" width="15.42578125" style="158" customWidth="1"/>
    <col min="13063" max="13063" width="2.140625" style="158" customWidth="1"/>
    <col min="13064" max="13064" width="14" style="158" customWidth="1"/>
    <col min="13065" max="13065" width="2.140625" style="158" customWidth="1"/>
    <col min="13066" max="13066" width="15.42578125" style="158" customWidth="1"/>
    <col min="13067" max="13067" width="13.42578125" style="158" bestFit="1" customWidth="1"/>
    <col min="13068" max="13312" width="9.140625" style="158"/>
    <col min="13313" max="13313" width="13.85546875" style="158" customWidth="1"/>
    <col min="13314" max="13314" width="2.140625" style="158" customWidth="1"/>
    <col min="13315" max="13315" width="23.5703125" style="158" customWidth="1"/>
    <col min="13316" max="13316" width="26.85546875" style="158" customWidth="1"/>
    <col min="13317" max="13317" width="16.140625" style="158" customWidth="1"/>
    <col min="13318" max="13318" width="15.42578125" style="158" customWidth="1"/>
    <col min="13319" max="13319" width="2.140625" style="158" customWidth="1"/>
    <col min="13320" max="13320" width="14" style="158" customWidth="1"/>
    <col min="13321" max="13321" width="2.140625" style="158" customWidth="1"/>
    <col min="13322" max="13322" width="15.42578125" style="158" customWidth="1"/>
    <col min="13323" max="13323" width="13.42578125" style="158" bestFit="1" customWidth="1"/>
    <col min="13324" max="13568" width="9.140625" style="158"/>
    <col min="13569" max="13569" width="13.85546875" style="158" customWidth="1"/>
    <col min="13570" max="13570" width="2.140625" style="158" customWidth="1"/>
    <col min="13571" max="13571" width="23.5703125" style="158" customWidth="1"/>
    <col min="13572" max="13572" width="26.85546875" style="158" customWidth="1"/>
    <col min="13573" max="13573" width="16.140625" style="158" customWidth="1"/>
    <col min="13574" max="13574" width="15.42578125" style="158" customWidth="1"/>
    <col min="13575" max="13575" width="2.140625" style="158" customWidth="1"/>
    <col min="13576" max="13576" width="14" style="158" customWidth="1"/>
    <col min="13577" max="13577" width="2.140625" style="158" customWidth="1"/>
    <col min="13578" max="13578" width="15.42578125" style="158" customWidth="1"/>
    <col min="13579" max="13579" width="13.42578125" style="158" bestFit="1" customWidth="1"/>
    <col min="13580" max="13824" width="9.140625" style="158"/>
    <col min="13825" max="13825" width="13.85546875" style="158" customWidth="1"/>
    <col min="13826" max="13826" width="2.140625" style="158" customWidth="1"/>
    <col min="13827" max="13827" width="23.5703125" style="158" customWidth="1"/>
    <col min="13828" max="13828" width="26.85546875" style="158" customWidth="1"/>
    <col min="13829" max="13829" width="16.140625" style="158" customWidth="1"/>
    <col min="13830" max="13830" width="15.42578125" style="158" customWidth="1"/>
    <col min="13831" max="13831" width="2.140625" style="158" customWidth="1"/>
    <col min="13832" max="13832" width="14" style="158" customWidth="1"/>
    <col min="13833" max="13833" width="2.140625" style="158" customWidth="1"/>
    <col min="13834" max="13834" width="15.42578125" style="158" customWidth="1"/>
    <col min="13835" max="13835" width="13.42578125" style="158" bestFit="1" customWidth="1"/>
    <col min="13836" max="14080" width="9.140625" style="158"/>
    <col min="14081" max="14081" width="13.85546875" style="158" customWidth="1"/>
    <col min="14082" max="14082" width="2.140625" style="158" customWidth="1"/>
    <col min="14083" max="14083" width="23.5703125" style="158" customWidth="1"/>
    <col min="14084" max="14084" width="26.85546875" style="158" customWidth="1"/>
    <col min="14085" max="14085" width="16.140625" style="158" customWidth="1"/>
    <col min="14086" max="14086" width="15.42578125" style="158" customWidth="1"/>
    <col min="14087" max="14087" width="2.140625" style="158" customWidth="1"/>
    <col min="14088" max="14088" width="14" style="158" customWidth="1"/>
    <col min="14089" max="14089" width="2.140625" style="158" customWidth="1"/>
    <col min="14090" max="14090" width="15.42578125" style="158" customWidth="1"/>
    <col min="14091" max="14091" width="13.42578125" style="158" bestFit="1" customWidth="1"/>
    <col min="14092" max="14336" width="9.140625" style="158"/>
    <col min="14337" max="14337" width="13.85546875" style="158" customWidth="1"/>
    <col min="14338" max="14338" width="2.140625" style="158" customWidth="1"/>
    <col min="14339" max="14339" width="23.5703125" style="158" customWidth="1"/>
    <col min="14340" max="14340" width="26.85546875" style="158" customWidth="1"/>
    <col min="14341" max="14341" width="16.140625" style="158" customWidth="1"/>
    <col min="14342" max="14342" width="15.42578125" style="158" customWidth="1"/>
    <col min="14343" max="14343" width="2.140625" style="158" customWidth="1"/>
    <col min="14344" max="14344" width="14" style="158" customWidth="1"/>
    <col min="14345" max="14345" width="2.140625" style="158" customWidth="1"/>
    <col min="14346" max="14346" width="15.42578125" style="158" customWidth="1"/>
    <col min="14347" max="14347" width="13.42578125" style="158" bestFit="1" customWidth="1"/>
    <col min="14348" max="14592" width="9.140625" style="158"/>
    <col min="14593" max="14593" width="13.85546875" style="158" customWidth="1"/>
    <col min="14594" max="14594" width="2.140625" style="158" customWidth="1"/>
    <col min="14595" max="14595" width="23.5703125" style="158" customWidth="1"/>
    <col min="14596" max="14596" width="26.85546875" style="158" customWidth="1"/>
    <col min="14597" max="14597" width="16.140625" style="158" customWidth="1"/>
    <col min="14598" max="14598" width="15.42578125" style="158" customWidth="1"/>
    <col min="14599" max="14599" width="2.140625" style="158" customWidth="1"/>
    <col min="14600" max="14600" width="14" style="158" customWidth="1"/>
    <col min="14601" max="14601" width="2.140625" style="158" customWidth="1"/>
    <col min="14602" max="14602" width="15.42578125" style="158" customWidth="1"/>
    <col min="14603" max="14603" width="13.42578125" style="158" bestFit="1" customWidth="1"/>
    <col min="14604" max="14848" width="9.140625" style="158"/>
    <col min="14849" max="14849" width="13.85546875" style="158" customWidth="1"/>
    <col min="14850" max="14850" width="2.140625" style="158" customWidth="1"/>
    <col min="14851" max="14851" width="23.5703125" style="158" customWidth="1"/>
    <col min="14852" max="14852" width="26.85546875" style="158" customWidth="1"/>
    <col min="14853" max="14853" width="16.140625" style="158" customWidth="1"/>
    <col min="14854" max="14854" width="15.42578125" style="158" customWidth="1"/>
    <col min="14855" max="14855" width="2.140625" style="158" customWidth="1"/>
    <col min="14856" max="14856" width="14" style="158" customWidth="1"/>
    <col min="14857" max="14857" width="2.140625" style="158" customWidth="1"/>
    <col min="14858" max="14858" width="15.42578125" style="158" customWidth="1"/>
    <col min="14859" max="14859" width="13.42578125" style="158" bestFit="1" customWidth="1"/>
    <col min="14860" max="15104" width="9.140625" style="158"/>
    <col min="15105" max="15105" width="13.85546875" style="158" customWidth="1"/>
    <col min="15106" max="15106" width="2.140625" style="158" customWidth="1"/>
    <col min="15107" max="15107" width="23.5703125" style="158" customWidth="1"/>
    <col min="15108" max="15108" width="26.85546875" style="158" customWidth="1"/>
    <col min="15109" max="15109" width="16.140625" style="158" customWidth="1"/>
    <col min="15110" max="15110" width="15.42578125" style="158" customWidth="1"/>
    <col min="15111" max="15111" width="2.140625" style="158" customWidth="1"/>
    <col min="15112" max="15112" width="14" style="158" customWidth="1"/>
    <col min="15113" max="15113" width="2.140625" style="158" customWidth="1"/>
    <col min="15114" max="15114" width="15.42578125" style="158" customWidth="1"/>
    <col min="15115" max="15115" width="13.42578125" style="158" bestFit="1" customWidth="1"/>
    <col min="15116" max="15360" width="9.140625" style="158"/>
    <col min="15361" max="15361" width="13.85546875" style="158" customWidth="1"/>
    <col min="15362" max="15362" width="2.140625" style="158" customWidth="1"/>
    <col min="15363" max="15363" width="23.5703125" style="158" customWidth="1"/>
    <col min="15364" max="15364" width="26.85546875" style="158" customWidth="1"/>
    <col min="15365" max="15365" width="16.140625" style="158" customWidth="1"/>
    <col min="15366" max="15366" width="15.42578125" style="158" customWidth="1"/>
    <col min="15367" max="15367" width="2.140625" style="158" customWidth="1"/>
    <col min="15368" max="15368" width="14" style="158" customWidth="1"/>
    <col min="15369" max="15369" width="2.140625" style="158" customWidth="1"/>
    <col min="15370" max="15370" width="15.42578125" style="158" customWidth="1"/>
    <col min="15371" max="15371" width="13.42578125" style="158" bestFit="1" customWidth="1"/>
    <col min="15372" max="15616" width="9.140625" style="158"/>
    <col min="15617" max="15617" width="13.85546875" style="158" customWidth="1"/>
    <col min="15618" max="15618" width="2.140625" style="158" customWidth="1"/>
    <col min="15619" max="15619" width="23.5703125" style="158" customWidth="1"/>
    <col min="15620" max="15620" width="26.85546875" style="158" customWidth="1"/>
    <col min="15621" max="15621" width="16.140625" style="158" customWidth="1"/>
    <col min="15622" max="15622" width="15.42578125" style="158" customWidth="1"/>
    <col min="15623" max="15623" width="2.140625" style="158" customWidth="1"/>
    <col min="15624" max="15624" width="14" style="158" customWidth="1"/>
    <col min="15625" max="15625" width="2.140625" style="158" customWidth="1"/>
    <col min="15626" max="15626" width="15.42578125" style="158" customWidth="1"/>
    <col min="15627" max="15627" width="13.42578125" style="158" bestFit="1" customWidth="1"/>
    <col min="15628" max="15872" width="9.140625" style="158"/>
    <col min="15873" max="15873" width="13.85546875" style="158" customWidth="1"/>
    <col min="15874" max="15874" width="2.140625" style="158" customWidth="1"/>
    <col min="15875" max="15875" width="23.5703125" style="158" customWidth="1"/>
    <col min="15876" max="15876" width="26.85546875" style="158" customWidth="1"/>
    <col min="15877" max="15877" width="16.140625" style="158" customWidth="1"/>
    <col min="15878" max="15878" width="15.42578125" style="158" customWidth="1"/>
    <col min="15879" max="15879" width="2.140625" style="158" customWidth="1"/>
    <col min="15880" max="15880" width="14" style="158" customWidth="1"/>
    <col min="15881" max="15881" width="2.140625" style="158" customWidth="1"/>
    <col min="15882" max="15882" width="15.42578125" style="158" customWidth="1"/>
    <col min="15883" max="15883" width="13.42578125" style="158" bestFit="1" customWidth="1"/>
    <col min="15884" max="16128" width="9.140625" style="158"/>
    <col min="16129" max="16129" width="13.85546875" style="158" customWidth="1"/>
    <col min="16130" max="16130" width="2.140625" style="158" customWidth="1"/>
    <col min="16131" max="16131" width="23.5703125" style="158" customWidth="1"/>
    <col min="16132" max="16132" width="26.85546875" style="158" customWidth="1"/>
    <col min="16133" max="16133" width="16.140625" style="158" customWidth="1"/>
    <col min="16134" max="16134" width="15.42578125" style="158" customWidth="1"/>
    <col min="16135" max="16135" width="2.140625" style="158" customWidth="1"/>
    <col min="16136" max="16136" width="14" style="158" customWidth="1"/>
    <col min="16137" max="16137" width="2.140625" style="158" customWidth="1"/>
    <col min="16138" max="16138" width="15.42578125" style="158" customWidth="1"/>
    <col min="16139" max="16139" width="13.42578125" style="158" bestFit="1" customWidth="1"/>
    <col min="16140" max="16384" width="9.140625" style="158"/>
  </cols>
  <sheetData>
    <row r="1" spans="1:12" ht="23.1" customHeight="1" x14ac:dyDescent="0.2">
      <c r="A1" s="20" t="s">
        <v>55</v>
      </c>
      <c r="B1" s="20" t="s">
        <v>56</v>
      </c>
      <c r="E1" s="21" t="s">
        <v>57</v>
      </c>
      <c r="F1" s="21" t="s">
        <v>58</v>
      </c>
      <c r="H1" s="21" t="s">
        <v>59</v>
      </c>
      <c r="J1" s="21" t="s">
        <v>60</v>
      </c>
      <c r="K1" s="161" t="s">
        <v>61</v>
      </c>
    </row>
    <row r="2" spans="1:12" ht="15.95" customHeight="1" x14ac:dyDescent="0.2">
      <c r="A2" s="157">
        <v>1</v>
      </c>
      <c r="B2" s="480" t="s">
        <v>62</v>
      </c>
      <c r="C2" s="476"/>
      <c r="D2" s="476"/>
      <c r="E2" s="23">
        <v>312886843.25999999</v>
      </c>
      <c r="F2" s="23">
        <v>40377076.960000001</v>
      </c>
      <c r="H2" s="23">
        <v>41940537.350000001</v>
      </c>
      <c r="J2" s="23">
        <v>311323382.87</v>
      </c>
      <c r="K2" s="22">
        <f>J2-E2</f>
        <v>-1563460.3899999857</v>
      </c>
      <c r="L2" s="26">
        <f>K2/1000</f>
        <v>-1563.4603899999856</v>
      </c>
    </row>
    <row r="3" spans="1:12" ht="15.95" customHeight="1" x14ac:dyDescent="0.2">
      <c r="A3" s="157">
        <v>11</v>
      </c>
      <c r="B3" s="480" t="s">
        <v>63</v>
      </c>
      <c r="C3" s="476"/>
      <c r="D3" s="476"/>
      <c r="E3" s="23">
        <v>15705679.26</v>
      </c>
      <c r="F3" s="23">
        <v>39988253.909999996</v>
      </c>
      <c r="H3" s="23">
        <v>37801511.810000002</v>
      </c>
      <c r="J3" s="23">
        <v>17892421.359999999</v>
      </c>
      <c r="K3" s="22">
        <f t="shared" ref="K3:K66" si="0">J3-E3</f>
        <v>2186742.0999999996</v>
      </c>
      <c r="L3" s="26">
        <f t="shared" ref="L3:L66" si="1">K3/1000</f>
        <v>2186.7420999999995</v>
      </c>
    </row>
    <row r="4" spans="1:12" ht="15.95" customHeight="1" x14ac:dyDescent="0.2">
      <c r="A4" s="159">
        <v>111</v>
      </c>
      <c r="B4" s="481" t="s">
        <v>64</v>
      </c>
      <c r="C4" s="482"/>
      <c r="D4" s="482"/>
      <c r="E4" s="24">
        <v>8347380.6299999999</v>
      </c>
      <c r="F4" s="24">
        <v>19794777.23</v>
      </c>
      <c r="G4" s="160"/>
      <c r="H4" s="24">
        <v>18285008.670000002</v>
      </c>
      <c r="I4" s="160"/>
      <c r="J4" s="24">
        <v>9857149.1899999995</v>
      </c>
      <c r="K4" s="25">
        <f t="shared" si="0"/>
        <v>1509768.5599999996</v>
      </c>
      <c r="L4" s="163">
        <f t="shared" si="1"/>
        <v>1509.7685599999995</v>
      </c>
    </row>
    <row r="5" spans="1:12" ht="15.95" customHeight="1" x14ac:dyDescent="0.2">
      <c r="A5" s="157">
        <v>11101</v>
      </c>
      <c r="B5" s="480" t="s">
        <v>65</v>
      </c>
      <c r="C5" s="476"/>
      <c r="D5" s="476"/>
      <c r="E5" s="23">
        <v>500</v>
      </c>
      <c r="F5" s="23">
        <v>16376.5</v>
      </c>
      <c r="H5" s="23">
        <v>16189.05</v>
      </c>
      <c r="J5" s="23">
        <v>687.45</v>
      </c>
      <c r="K5" s="22">
        <f t="shared" si="0"/>
        <v>187.45000000000005</v>
      </c>
      <c r="L5" s="26">
        <f t="shared" si="1"/>
        <v>0.18745000000000003</v>
      </c>
    </row>
    <row r="6" spans="1:12" ht="15.95" customHeight="1" x14ac:dyDescent="0.2">
      <c r="A6" s="157">
        <v>1110101</v>
      </c>
      <c r="B6" s="480" t="s">
        <v>66</v>
      </c>
      <c r="C6" s="476"/>
      <c r="D6" s="476"/>
      <c r="E6" s="23">
        <v>500</v>
      </c>
      <c r="F6" s="23">
        <v>16376.5</v>
      </c>
      <c r="H6" s="23">
        <v>16189.05</v>
      </c>
      <c r="J6" s="23">
        <v>687.45</v>
      </c>
      <c r="K6" s="22">
        <f t="shared" si="0"/>
        <v>187.45000000000005</v>
      </c>
      <c r="L6" s="26">
        <f t="shared" si="1"/>
        <v>0.18745000000000003</v>
      </c>
    </row>
    <row r="7" spans="1:12" ht="15.95" customHeight="1" x14ac:dyDescent="0.2">
      <c r="A7" s="157">
        <v>11102</v>
      </c>
      <c r="B7" s="480" t="s">
        <v>69</v>
      </c>
      <c r="C7" s="476"/>
      <c r="D7" s="476"/>
      <c r="E7" s="23">
        <v>2002.42</v>
      </c>
      <c r="F7" s="23">
        <v>4021.58</v>
      </c>
      <c r="H7" s="23">
        <v>4014.58</v>
      </c>
      <c r="J7" s="23">
        <v>2009.42</v>
      </c>
      <c r="K7" s="22">
        <f t="shared" si="0"/>
        <v>7</v>
      </c>
      <c r="L7" s="26">
        <f t="shared" si="1"/>
        <v>7.0000000000000001E-3</v>
      </c>
    </row>
    <row r="8" spans="1:12" ht="15.95" customHeight="1" x14ac:dyDescent="0.2">
      <c r="A8" s="157">
        <v>1110204</v>
      </c>
      <c r="B8" s="480" t="s">
        <v>70</v>
      </c>
      <c r="C8" s="476"/>
      <c r="D8" s="476"/>
      <c r="E8" s="23">
        <v>2002.42</v>
      </c>
      <c r="F8" s="23">
        <v>4021.58</v>
      </c>
      <c r="H8" s="23">
        <v>4014.58</v>
      </c>
      <c r="J8" s="23">
        <v>2009.42</v>
      </c>
      <c r="K8" s="22">
        <f t="shared" si="0"/>
        <v>7</v>
      </c>
      <c r="L8" s="26">
        <f t="shared" si="1"/>
        <v>7.0000000000000001E-3</v>
      </c>
    </row>
    <row r="9" spans="1:12" ht="15.95" customHeight="1" x14ac:dyDescent="0.2">
      <c r="A9" s="157">
        <v>11103</v>
      </c>
      <c r="B9" s="480" t="s">
        <v>77</v>
      </c>
      <c r="C9" s="476"/>
      <c r="D9" s="476"/>
      <c r="E9" s="23">
        <v>942747.6</v>
      </c>
      <c r="F9" s="23">
        <v>17838220.989999998</v>
      </c>
      <c r="H9" s="23">
        <v>17611644.5</v>
      </c>
      <c r="J9" s="23">
        <v>1169324.0900000001</v>
      </c>
      <c r="K9" s="22">
        <f t="shared" si="0"/>
        <v>226576.49000000011</v>
      </c>
      <c r="L9" s="26">
        <f t="shared" si="1"/>
        <v>226.57649000000012</v>
      </c>
    </row>
    <row r="10" spans="1:12" ht="15.95" customHeight="1" x14ac:dyDescent="0.2">
      <c r="A10" s="157">
        <v>1110301</v>
      </c>
      <c r="B10" s="480" t="s">
        <v>78</v>
      </c>
      <c r="C10" s="476"/>
      <c r="D10" s="476"/>
      <c r="E10" s="23">
        <v>942747.6</v>
      </c>
      <c r="F10" s="23">
        <v>17838220.989999998</v>
      </c>
      <c r="H10" s="23">
        <v>17611644.5</v>
      </c>
      <c r="J10" s="23">
        <v>1169324.0900000001</v>
      </c>
      <c r="K10" s="22">
        <f t="shared" si="0"/>
        <v>226576.49000000011</v>
      </c>
      <c r="L10" s="26">
        <f t="shared" si="1"/>
        <v>226.57649000000012</v>
      </c>
    </row>
    <row r="11" spans="1:12" ht="15.95" customHeight="1" x14ac:dyDescent="0.2">
      <c r="A11" s="157">
        <v>11104</v>
      </c>
      <c r="B11" s="480" t="s">
        <v>81</v>
      </c>
      <c r="C11" s="476"/>
      <c r="D11" s="476"/>
      <c r="E11" s="23">
        <v>320.79000000000002</v>
      </c>
      <c r="F11" s="23">
        <v>1000</v>
      </c>
      <c r="H11" s="23">
        <v>1239.75</v>
      </c>
      <c r="J11" s="23">
        <v>81.040000000000006</v>
      </c>
      <c r="K11" s="22">
        <f t="shared" si="0"/>
        <v>-239.75</v>
      </c>
      <c r="L11" s="26">
        <f t="shared" si="1"/>
        <v>-0.23974999999999999</v>
      </c>
    </row>
    <row r="12" spans="1:12" ht="15.95" customHeight="1" x14ac:dyDescent="0.2">
      <c r="A12" s="157">
        <v>1110401</v>
      </c>
      <c r="B12" s="480" t="s">
        <v>82</v>
      </c>
      <c r="C12" s="476"/>
      <c r="D12" s="476"/>
      <c r="E12" s="23">
        <v>320.79000000000002</v>
      </c>
      <c r="F12" s="23">
        <v>1000</v>
      </c>
      <c r="H12" s="23">
        <v>1239.75</v>
      </c>
      <c r="J12" s="23">
        <v>81.040000000000006</v>
      </c>
      <c r="K12" s="22">
        <f t="shared" si="0"/>
        <v>-239.75</v>
      </c>
      <c r="L12" s="26">
        <f t="shared" si="1"/>
        <v>-0.23974999999999999</v>
      </c>
    </row>
    <row r="13" spans="1:12" ht="15.95" customHeight="1" x14ac:dyDescent="0.2">
      <c r="A13" s="157">
        <v>11105</v>
      </c>
      <c r="B13" s="480" t="s">
        <v>85</v>
      </c>
      <c r="C13" s="476"/>
      <c r="D13" s="476"/>
      <c r="E13" s="23">
        <v>792.51</v>
      </c>
      <c r="F13" s="23">
        <v>11.93</v>
      </c>
      <c r="H13" s="23">
        <v>1.03</v>
      </c>
      <c r="J13" s="23">
        <v>803.41</v>
      </c>
      <c r="K13" s="22">
        <f t="shared" si="0"/>
        <v>10.899999999999977</v>
      </c>
      <c r="L13" s="26">
        <f t="shared" si="1"/>
        <v>1.0899999999999977E-2</v>
      </c>
    </row>
    <row r="14" spans="1:12" ht="15.95" customHeight="1" x14ac:dyDescent="0.2">
      <c r="A14" s="157">
        <v>1110501</v>
      </c>
      <c r="B14" s="480" t="s">
        <v>78</v>
      </c>
      <c r="C14" s="476"/>
      <c r="D14" s="476"/>
      <c r="E14" s="23">
        <v>792.51</v>
      </c>
      <c r="F14" s="23">
        <v>11.93</v>
      </c>
      <c r="H14" s="23">
        <v>1.03</v>
      </c>
      <c r="J14" s="23">
        <v>803.41</v>
      </c>
      <c r="K14" s="22">
        <f t="shared" si="0"/>
        <v>10.899999999999977</v>
      </c>
      <c r="L14" s="26">
        <f t="shared" si="1"/>
        <v>1.0899999999999977E-2</v>
      </c>
    </row>
    <row r="15" spans="1:12" ht="15.95" customHeight="1" x14ac:dyDescent="0.2">
      <c r="A15" s="157">
        <v>11106</v>
      </c>
      <c r="B15" s="480" t="s">
        <v>90</v>
      </c>
      <c r="C15" s="476"/>
      <c r="D15" s="476"/>
      <c r="E15" s="23">
        <v>7401017.3099999996</v>
      </c>
      <c r="F15" s="23">
        <v>1935146.23</v>
      </c>
      <c r="H15" s="23">
        <v>651919.76</v>
      </c>
      <c r="J15" s="23">
        <v>8684243.7799999993</v>
      </c>
      <c r="K15" s="22">
        <f t="shared" si="0"/>
        <v>1283226.4699999997</v>
      </c>
      <c r="L15" s="26">
        <f t="shared" si="1"/>
        <v>1283.2264699999998</v>
      </c>
    </row>
    <row r="16" spans="1:12" ht="15.95" customHeight="1" x14ac:dyDescent="0.2">
      <c r="A16" s="157">
        <v>1110601</v>
      </c>
      <c r="B16" s="480" t="s">
        <v>78</v>
      </c>
      <c r="C16" s="476"/>
      <c r="D16" s="476"/>
      <c r="E16" s="23">
        <v>7401017.3099999996</v>
      </c>
      <c r="F16" s="23">
        <v>1935146.23</v>
      </c>
      <c r="H16" s="23">
        <v>651919.76</v>
      </c>
      <c r="J16" s="23">
        <v>8684243.7799999993</v>
      </c>
      <c r="K16" s="22">
        <f t="shared" si="0"/>
        <v>1283226.4699999997</v>
      </c>
      <c r="L16" s="26">
        <f t="shared" si="1"/>
        <v>1283.2264699999998</v>
      </c>
    </row>
    <row r="17" spans="1:12" ht="15.95" customHeight="1" x14ac:dyDescent="0.2">
      <c r="A17" s="157">
        <v>112</v>
      </c>
      <c r="B17" s="480" t="s">
        <v>95</v>
      </c>
      <c r="C17" s="476"/>
      <c r="D17" s="476"/>
      <c r="E17" s="23">
        <v>5621631.8399999999</v>
      </c>
      <c r="F17" s="23">
        <v>17777352.239999998</v>
      </c>
      <c r="H17" s="23">
        <v>17484665.890000001</v>
      </c>
      <c r="J17" s="23">
        <v>5914318.1900000004</v>
      </c>
      <c r="K17" s="22">
        <f t="shared" si="0"/>
        <v>292686.35000000056</v>
      </c>
      <c r="L17" s="26">
        <f t="shared" si="1"/>
        <v>292.68635000000057</v>
      </c>
    </row>
    <row r="18" spans="1:12" ht="15.95" customHeight="1" x14ac:dyDescent="0.2">
      <c r="A18" s="157">
        <v>11201</v>
      </c>
      <c r="B18" s="480" t="s">
        <v>96</v>
      </c>
      <c r="C18" s="476"/>
      <c r="D18" s="476"/>
      <c r="E18" s="23">
        <v>4911717.92</v>
      </c>
      <c r="F18" s="23">
        <v>17404453.84</v>
      </c>
      <c r="H18" s="23">
        <v>17177690.059999999</v>
      </c>
      <c r="J18" s="23">
        <v>5138481.7</v>
      </c>
      <c r="K18" s="22">
        <f t="shared" si="0"/>
        <v>226763.78000000026</v>
      </c>
      <c r="L18" s="26">
        <f t="shared" si="1"/>
        <v>226.76378000000025</v>
      </c>
    </row>
    <row r="19" spans="1:12" ht="15.95" customHeight="1" x14ac:dyDescent="0.2">
      <c r="A19" s="159">
        <v>1120101</v>
      </c>
      <c r="B19" s="481" t="s">
        <v>97</v>
      </c>
      <c r="C19" s="482"/>
      <c r="D19" s="482"/>
      <c r="E19" s="24">
        <v>4748893.66</v>
      </c>
      <c r="F19" s="24">
        <v>17391556.550000001</v>
      </c>
      <c r="G19" s="160"/>
      <c r="H19" s="24">
        <v>17140560.030000001</v>
      </c>
      <c r="I19" s="160"/>
      <c r="J19" s="24">
        <v>4999890.18</v>
      </c>
      <c r="K19" s="25">
        <f t="shared" si="0"/>
        <v>250996.51999999955</v>
      </c>
      <c r="L19" s="163">
        <f t="shared" si="1"/>
        <v>250.99651999999955</v>
      </c>
    </row>
    <row r="20" spans="1:12" ht="15.95" customHeight="1" x14ac:dyDescent="0.2">
      <c r="A20" s="157">
        <v>1120102</v>
      </c>
      <c r="B20" s="480" t="s">
        <v>100</v>
      </c>
      <c r="C20" s="476"/>
      <c r="D20" s="476"/>
      <c r="E20" s="23">
        <v>162824.26</v>
      </c>
      <c r="F20" s="23">
        <v>12897.29</v>
      </c>
      <c r="H20" s="23">
        <v>37130.03</v>
      </c>
      <c r="J20" s="23">
        <v>138591.51999999999</v>
      </c>
      <c r="K20" s="22">
        <f t="shared" si="0"/>
        <v>-24232.74000000002</v>
      </c>
      <c r="L20" s="26">
        <f t="shared" si="1"/>
        <v>-24.232740000000021</v>
      </c>
    </row>
    <row r="21" spans="1:12" ht="15.95" customHeight="1" x14ac:dyDescent="0.2">
      <c r="A21" s="159">
        <v>11202</v>
      </c>
      <c r="B21" s="481" t="s">
        <v>115</v>
      </c>
      <c r="C21" s="482"/>
      <c r="D21" s="482"/>
      <c r="E21" s="24">
        <v>-328283.25</v>
      </c>
      <c r="F21" s="24">
        <v>0</v>
      </c>
      <c r="G21" s="160"/>
      <c r="H21" s="24">
        <v>0</v>
      </c>
      <c r="I21" s="160"/>
      <c r="J21" s="24">
        <v>-328283.25</v>
      </c>
      <c r="K21" s="25">
        <f t="shared" si="0"/>
        <v>0</v>
      </c>
      <c r="L21" s="163">
        <f t="shared" si="1"/>
        <v>0</v>
      </c>
    </row>
    <row r="22" spans="1:12" ht="15.95" customHeight="1" x14ac:dyDescent="0.2">
      <c r="A22" s="157">
        <v>1120201</v>
      </c>
      <c r="B22" s="480" t="s">
        <v>116</v>
      </c>
      <c r="C22" s="476"/>
      <c r="D22" s="476"/>
      <c r="E22" s="23">
        <v>-328283.25</v>
      </c>
      <c r="F22" s="23">
        <v>0</v>
      </c>
      <c r="H22" s="23">
        <v>0</v>
      </c>
      <c r="J22" s="23">
        <v>-328283.25</v>
      </c>
      <c r="K22" s="22">
        <f t="shared" si="0"/>
        <v>0</v>
      </c>
      <c r="L22" s="26">
        <f t="shared" si="1"/>
        <v>0</v>
      </c>
    </row>
    <row r="23" spans="1:12" ht="15.95" customHeight="1" x14ac:dyDescent="0.2">
      <c r="A23" s="159">
        <v>11204</v>
      </c>
      <c r="B23" s="481" t="s">
        <v>119</v>
      </c>
      <c r="C23" s="482"/>
      <c r="D23" s="482"/>
      <c r="E23" s="24">
        <v>57028.7</v>
      </c>
      <c r="F23" s="24">
        <v>116527.11</v>
      </c>
      <c r="G23" s="160"/>
      <c r="H23" s="24">
        <v>80098.31</v>
      </c>
      <c r="I23" s="160"/>
      <c r="J23" s="24">
        <v>93457.5</v>
      </c>
      <c r="K23" s="25">
        <f t="shared" si="0"/>
        <v>36428.800000000003</v>
      </c>
      <c r="L23" s="163">
        <f t="shared" si="1"/>
        <v>36.428800000000003</v>
      </c>
    </row>
    <row r="24" spans="1:12" ht="15.95" customHeight="1" x14ac:dyDescent="0.2">
      <c r="A24" s="157">
        <v>1120401</v>
      </c>
      <c r="B24" s="480" t="s">
        <v>120</v>
      </c>
      <c r="C24" s="476"/>
      <c r="D24" s="476"/>
      <c r="E24" s="23">
        <v>36344.92</v>
      </c>
      <c r="F24" s="23">
        <v>54501.34</v>
      </c>
      <c r="H24" s="23">
        <v>18172.46</v>
      </c>
      <c r="J24" s="23">
        <v>72673.8</v>
      </c>
      <c r="K24" s="22">
        <f t="shared" si="0"/>
        <v>36328.880000000005</v>
      </c>
      <c r="L24" s="26">
        <f t="shared" si="1"/>
        <v>36.328880000000005</v>
      </c>
    </row>
    <row r="25" spans="1:12" ht="15.95" customHeight="1" x14ac:dyDescent="0.2">
      <c r="A25" s="157">
        <v>1120407</v>
      </c>
      <c r="B25" s="480" t="s">
        <v>123</v>
      </c>
      <c r="C25" s="476"/>
      <c r="D25" s="476"/>
      <c r="E25" s="23">
        <v>20683.78</v>
      </c>
      <c r="F25" s="23">
        <v>62025.77</v>
      </c>
      <c r="H25" s="23">
        <v>61925.85</v>
      </c>
      <c r="J25" s="23">
        <v>20783.7</v>
      </c>
      <c r="K25" s="22">
        <f t="shared" si="0"/>
        <v>99.920000000001892</v>
      </c>
      <c r="L25" s="26">
        <f t="shared" si="1"/>
        <v>9.9920000000001896E-2</v>
      </c>
    </row>
    <row r="26" spans="1:12" ht="15.95" customHeight="1" x14ac:dyDescent="0.2">
      <c r="A26" s="157">
        <v>11205</v>
      </c>
      <c r="B26" s="480" t="s">
        <v>126</v>
      </c>
      <c r="C26" s="476"/>
      <c r="D26" s="476"/>
      <c r="E26" s="23">
        <v>981168.47</v>
      </c>
      <c r="F26" s="23">
        <v>256371.29</v>
      </c>
      <c r="H26" s="23">
        <v>226877.52</v>
      </c>
      <c r="J26" s="23">
        <v>1010662.24</v>
      </c>
      <c r="K26" s="22">
        <f t="shared" si="0"/>
        <v>29493.770000000019</v>
      </c>
      <c r="L26" s="26">
        <f t="shared" si="1"/>
        <v>29.493770000000019</v>
      </c>
    </row>
    <row r="27" spans="1:12" ht="15.95" customHeight="1" x14ac:dyDescent="0.2">
      <c r="A27" s="159">
        <v>1120501</v>
      </c>
      <c r="B27" s="481" t="s">
        <v>127</v>
      </c>
      <c r="C27" s="482"/>
      <c r="D27" s="482"/>
      <c r="E27" s="24">
        <v>366465.44</v>
      </c>
      <c r="F27" s="24">
        <v>0</v>
      </c>
      <c r="G27" s="160"/>
      <c r="H27" s="24">
        <v>0</v>
      </c>
      <c r="I27" s="160"/>
      <c r="J27" s="24">
        <v>366465.44</v>
      </c>
      <c r="K27" s="25">
        <f t="shared" si="0"/>
        <v>0</v>
      </c>
      <c r="L27" s="163">
        <f t="shared" si="1"/>
        <v>0</v>
      </c>
    </row>
    <row r="28" spans="1:12" ht="15.95" customHeight="1" x14ac:dyDescent="0.2">
      <c r="A28" s="157">
        <v>1120502</v>
      </c>
      <c r="B28" s="480" t="s">
        <v>132</v>
      </c>
      <c r="C28" s="476"/>
      <c r="D28" s="476"/>
      <c r="E28" s="23">
        <v>573263.03</v>
      </c>
      <c r="F28" s="23">
        <v>256371.29</v>
      </c>
      <c r="H28" s="23">
        <v>226877.52</v>
      </c>
      <c r="J28" s="23">
        <v>602756.80000000005</v>
      </c>
      <c r="K28" s="22">
        <f t="shared" si="0"/>
        <v>29493.770000000019</v>
      </c>
      <c r="L28" s="26">
        <f t="shared" si="1"/>
        <v>29.493770000000019</v>
      </c>
    </row>
    <row r="29" spans="1:12" ht="15.95" customHeight="1" x14ac:dyDescent="0.2">
      <c r="A29" s="157">
        <v>1120503</v>
      </c>
      <c r="B29" s="480" t="s">
        <v>143</v>
      </c>
      <c r="C29" s="476"/>
      <c r="D29" s="476"/>
      <c r="E29" s="23">
        <v>41440</v>
      </c>
      <c r="F29" s="23">
        <v>0</v>
      </c>
      <c r="H29" s="23">
        <v>0</v>
      </c>
      <c r="J29" s="23">
        <v>41440</v>
      </c>
      <c r="K29" s="22">
        <f t="shared" si="0"/>
        <v>0</v>
      </c>
      <c r="L29" s="26">
        <f t="shared" si="1"/>
        <v>0</v>
      </c>
    </row>
    <row r="30" spans="1:12" ht="15.95" customHeight="1" x14ac:dyDescent="0.2">
      <c r="A30" s="159">
        <v>113</v>
      </c>
      <c r="B30" s="481" t="s">
        <v>146</v>
      </c>
      <c r="C30" s="482"/>
      <c r="D30" s="482"/>
      <c r="E30" s="24">
        <v>1450391.54</v>
      </c>
      <c r="F30" s="24">
        <v>2393340.19</v>
      </c>
      <c r="G30" s="160"/>
      <c r="H30" s="24">
        <v>1912939</v>
      </c>
      <c r="I30" s="160"/>
      <c r="J30" s="24">
        <v>1930792.73</v>
      </c>
      <c r="K30" s="25">
        <f t="shared" si="0"/>
        <v>480401.18999999994</v>
      </c>
      <c r="L30" s="163">
        <f t="shared" si="1"/>
        <v>480.40118999999993</v>
      </c>
    </row>
    <row r="31" spans="1:12" ht="15.95" customHeight="1" x14ac:dyDescent="0.2">
      <c r="A31" s="157">
        <v>11301</v>
      </c>
      <c r="B31" s="480" t="s">
        <v>146</v>
      </c>
      <c r="C31" s="476"/>
      <c r="D31" s="476"/>
      <c r="E31" s="23">
        <v>1450391.54</v>
      </c>
      <c r="F31" s="23">
        <v>2393340.19</v>
      </c>
      <c r="H31" s="23">
        <v>1912939</v>
      </c>
      <c r="J31" s="23">
        <v>1930792.73</v>
      </c>
      <c r="K31" s="22">
        <f t="shared" si="0"/>
        <v>480401.18999999994</v>
      </c>
      <c r="L31" s="26">
        <f t="shared" si="1"/>
        <v>480.40118999999993</v>
      </c>
    </row>
    <row r="32" spans="1:12" ht="15.95" customHeight="1" x14ac:dyDescent="0.2">
      <c r="A32" s="157">
        <v>1130101</v>
      </c>
      <c r="B32" s="480" t="s">
        <v>147</v>
      </c>
      <c r="C32" s="476"/>
      <c r="D32" s="476"/>
      <c r="E32" s="23">
        <v>482298.17</v>
      </c>
      <c r="F32" s="23">
        <v>470676.66</v>
      </c>
      <c r="H32" s="23">
        <v>181440.5</v>
      </c>
      <c r="J32" s="23">
        <v>771534.33</v>
      </c>
      <c r="K32" s="22">
        <f t="shared" si="0"/>
        <v>289236.15999999997</v>
      </c>
      <c r="L32" s="26">
        <f t="shared" si="1"/>
        <v>289.23615999999998</v>
      </c>
    </row>
    <row r="33" spans="1:12" ht="15.95" customHeight="1" x14ac:dyDescent="0.2">
      <c r="A33" s="157">
        <v>1130102</v>
      </c>
      <c r="B33" s="480" t="s">
        <v>160</v>
      </c>
      <c r="C33" s="476"/>
      <c r="D33" s="476"/>
      <c r="E33" s="23">
        <v>798390.41</v>
      </c>
      <c r="F33" s="23">
        <v>0</v>
      </c>
      <c r="H33" s="23">
        <v>0</v>
      </c>
      <c r="J33" s="23">
        <v>798390.41</v>
      </c>
      <c r="K33" s="22">
        <f t="shared" si="0"/>
        <v>0</v>
      </c>
      <c r="L33" s="26">
        <f t="shared" si="1"/>
        <v>0</v>
      </c>
    </row>
    <row r="34" spans="1:12" ht="15.95" customHeight="1" x14ac:dyDescent="0.2">
      <c r="A34" s="157">
        <v>1130103</v>
      </c>
      <c r="B34" s="480" t="s">
        <v>163</v>
      </c>
      <c r="C34" s="476"/>
      <c r="D34" s="476"/>
      <c r="E34" s="23">
        <v>160600.85999999999</v>
      </c>
      <c r="F34" s="23">
        <v>0</v>
      </c>
      <c r="H34" s="23">
        <v>0</v>
      </c>
      <c r="J34" s="23">
        <v>160600.85999999999</v>
      </c>
      <c r="K34" s="22">
        <f t="shared" si="0"/>
        <v>0</v>
      </c>
      <c r="L34" s="26">
        <f t="shared" si="1"/>
        <v>0</v>
      </c>
    </row>
    <row r="35" spans="1:12" ht="15.95" customHeight="1" x14ac:dyDescent="0.2">
      <c r="A35" s="157">
        <v>1130104</v>
      </c>
      <c r="B35" s="480" t="s">
        <v>166</v>
      </c>
      <c r="C35" s="476"/>
      <c r="D35" s="476"/>
      <c r="E35" s="23">
        <v>9102.1</v>
      </c>
      <c r="F35" s="23">
        <v>1922663.53</v>
      </c>
      <c r="H35" s="23">
        <v>1731498.5</v>
      </c>
      <c r="J35" s="23">
        <v>200267.13</v>
      </c>
      <c r="K35" s="22">
        <f t="shared" si="0"/>
        <v>191165.03</v>
      </c>
      <c r="L35" s="26">
        <f t="shared" si="1"/>
        <v>191.16503</v>
      </c>
    </row>
    <row r="36" spans="1:12" ht="15.95" customHeight="1" x14ac:dyDescent="0.2">
      <c r="A36" s="159">
        <v>114</v>
      </c>
      <c r="B36" s="481" t="s">
        <v>173</v>
      </c>
      <c r="C36" s="482"/>
      <c r="D36" s="482"/>
      <c r="E36" s="24">
        <v>60854.81</v>
      </c>
      <c r="F36" s="24">
        <v>14084.25</v>
      </c>
      <c r="G36" s="160"/>
      <c r="H36" s="24">
        <v>20625.990000000002</v>
      </c>
      <c r="I36" s="160"/>
      <c r="J36" s="24">
        <v>54313.07</v>
      </c>
      <c r="K36" s="25">
        <f t="shared" si="0"/>
        <v>-6541.739999999998</v>
      </c>
      <c r="L36" s="163">
        <f t="shared" si="1"/>
        <v>-6.5417399999999981</v>
      </c>
    </row>
    <row r="37" spans="1:12" ht="15.95" customHeight="1" x14ac:dyDescent="0.2">
      <c r="A37" s="157">
        <v>11401</v>
      </c>
      <c r="B37" s="480" t="s">
        <v>174</v>
      </c>
      <c r="C37" s="476"/>
      <c r="D37" s="476"/>
      <c r="E37" s="23">
        <v>60854.81</v>
      </c>
      <c r="F37" s="23">
        <v>14084.25</v>
      </c>
      <c r="H37" s="23">
        <v>20625.990000000002</v>
      </c>
      <c r="J37" s="23">
        <v>54313.07</v>
      </c>
      <c r="K37" s="22">
        <f t="shared" si="0"/>
        <v>-6541.739999999998</v>
      </c>
      <c r="L37" s="26">
        <f t="shared" si="1"/>
        <v>-6.5417399999999981</v>
      </c>
    </row>
    <row r="38" spans="1:12" ht="15.95" customHeight="1" x14ac:dyDescent="0.2">
      <c r="A38" s="157">
        <v>1140101</v>
      </c>
      <c r="B38" s="480" t="s">
        <v>175</v>
      </c>
      <c r="C38" s="476"/>
      <c r="D38" s="476"/>
      <c r="E38" s="23">
        <v>8053.2</v>
      </c>
      <c r="F38" s="23">
        <v>0</v>
      </c>
      <c r="H38" s="23">
        <v>0</v>
      </c>
      <c r="J38" s="23">
        <v>8053.2</v>
      </c>
      <c r="K38" s="22">
        <f t="shared" si="0"/>
        <v>0</v>
      </c>
      <c r="L38" s="26">
        <f t="shared" si="1"/>
        <v>0</v>
      </c>
    </row>
    <row r="39" spans="1:12" ht="15.95" customHeight="1" x14ac:dyDescent="0.2">
      <c r="A39" s="157">
        <v>1140102</v>
      </c>
      <c r="B39" s="480" t="s">
        <v>180</v>
      </c>
      <c r="C39" s="476"/>
      <c r="D39" s="476"/>
      <c r="E39" s="23">
        <v>52801.61</v>
      </c>
      <c r="F39" s="23">
        <v>14084.25</v>
      </c>
      <c r="H39" s="23">
        <v>20625.990000000002</v>
      </c>
      <c r="J39" s="23">
        <v>46259.87</v>
      </c>
      <c r="K39" s="22">
        <f t="shared" si="0"/>
        <v>-6541.739999999998</v>
      </c>
      <c r="L39" s="26">
        <f t="shared" si="1"/>
        <v>-6.5417399999999981</v>
      </c>
    </row>
    <row r="40" spans="1:12" ht="15.95" customHeight="1" x14ac:dyDescent="0.2">
      <c r="A40" s="159">
        <v>117</v>
      </c>
      <c r="B40" s="481" t="s">
        <v>197</v>
      </c>
      <c r="C40" s="482"/>
      <c r="D40" s="482"/>
      <c r="E40" s="24">
        <v>225420.44</v>
      </c>
      <c r="F40" s="24">
        <v>8700</v>
      </c>
      <c r="G40" s="160"/>
      <c r="H40" s="24">
        <v>98272.26</v>
      </c>
      <c r="I40" s="160"/>
      <c r="J40" s="24">
        <v>135848.18</v>
      </c>
      <c r="K40" s="25">
        <f t="shared" si="0"/>
        <v>-89572.260000000009</v>
      </c>
      <c r="L40" s="163">
        <f t="shared" si="1"/>
        <v>-89.572260000000014</v>
      </c>
    </row>
    <row r="41" spans="1:12" ht="15.95" customHeight="1" x14ac:dyDescent="0.2">
      <c r="A41" s="157">
        <v>11701</v>
      </c>
      <c r="B41" s="480" t="s">
        <v>197</v>
      </c>
      <c r="C41" s="476"/>
      <c r="D41" s="476"/>
      <c r="E41" s="23">
        <v>225420.44</v>
      </c>
      <c r="F41" s="23">
        <v>8700</v>
      </c>
      <c r="H41" s="23">
        <v>98272.26</v>
      </c>
      <c r="J41" s="23">
        <v>135848.18</v>
      </c>
      <c r="K41" s="22">
        <f t="shared" si="0"/>
        <v>-89572.260000000009</v>
      </c>
      <c r="L41" s="26">
        <f t="shared" si="1"/>
        <v>-89.572260000000014</v>
      </c>
    </row>
    <row r="42" spans="1:12" ht="15.95" customHeight="1" x14ac:dyDescent="0.2">
      <c r="A42" s="157">
        <v>1170101</v>
      </c>
      <c r="B42" s="480" t="s">
        <v>198</v>
      </c>
      <c r="C42" s="476"/>
      <c r="D42" s="476"/>
      <c r="E42" s="23">
        <v>213327.51</v>
      </c>
      <c r="F42" s="23">
        <v>0</v>
      </c>
      <c r="H42" s="23">
        <v>88246.65</v>
      </c>
      <c r="J42" s="23">
        <v>125080.86</v>
      </c>
      <c r="K42" s="22">
        <f t="shared" si="0"/>
        <v>-88246.650000000009</v>
      </c>
      <c r="L42" s="26">
        <f t="shared" si="1"/>
        <v>-88.246650000000002</v>
      </c>
    </row>
    <row r="43" spans="1:12" ht="15.95" customHeight="1" x14ac:dyDescent="0.2">
      <c r="A43" s="157">
        <v>1170102</v>
      </c>
      <c r="B43" s="480" t="s">
        <v>203</v>
      </c>
      <c r="C43" s="476"/>
      <c r="D43" s="476"/>
      <c r="E43" s="23">
        <v>6508.3</v>
      </c>
      <c r="F43" s="23">
        <v>8700</v>
      </c>
      <c r="H43" s="23">
        <v>7233.3</v>
      </c>
      <c r="J43" s="23">
        <v>7975</v>
      </c>
      <c r="K43" s="22">
        <f t="shared" si="0"/>
        <v>1466.6999999999998</v>
      </c>
      <c r="L43" s="26">
        <f t="shared" si="1"/>
        <v>1.4666999999999999</v>
      </c>
    </row>
    <row r="44" spans="1:12" ht="15.95" customHeight="1" x14ac:dyDescent="0.2">
      <c r="A44" s="157">
        <v>1170103</v>
      </c>
      <c r="B44" s="480" t="s">
        <v>206</v>
      </c>
      <c r="C44" s="476"/>
      <c r="D44" s="476"/>
      <c r="E44" s="23">
        <v>5584.63</v>
      </c>
      <c r="F44" s="23">
        <v>0</v>
      </c>
      <c r="H44" s="23">
        <v>2792.31</v>
      </c>
      <c r="J44" s="23">
        <v>2792.32</v>
      </c>
      <c r="K44" s="22">
        <f t="shared" si="0"/>
        <v>-2792.31</v>
      </c>
      <c r="L44" s="26">
        <f t="shared" si="1"/>
        <v>-2.7923100000000001</v>
      </c>
    </row>
    <row r="45" spans="1:12" ht="15.95" customHeight="1" x14ac:dyDescent="0.2">
      <c r="A45" s="157">
        <v>12</v>
      </c>
      <c r="B45" s="480" t="s">
        <v>209</v>
      </c>
      <c r="C45" s="476"/>
      <c r="D45" s="476"/>
      <c r="E45" s="23">
        <v>295944446.50999999</v>
      </c>
      <c r="F45" s="23">
        <v>388823.05</v>
      </c>
      <c r="H45" s="23">
        <v>4139025.54</v>
      </c>
      <c r="J45" s="23">
        <v>292194244.01999998</v>
      </c>
      <c r="K45" s="22">
        <f t="shared" si="0"/>
        <v>-3750202.4900000095</v>
      </c>
      <c r="L45" s="26">
        <f t="shared" si="1"/>
        <v>-3750.2024900000097</v>
      </c>
    </row>
    <row r="46" spans="1:12" ht="15.95" customHeight="1" x14ac:dyDescent="0.2">
      <c r="A46" s="157">
        <v>121</v>
      </c>
      <c r="B46" s="480" t="s">
        <v>210</v>
      </c>
      <c r="C46" s="476"/>
      <c r="D46" s="476"/>
      <c r="E46" s="23">
        <v>655115.97</v>
      </c>
      <c r="F46" s="23">
        <v>166788.39000000001</v>
      </c>
      <c r="H46" s="23">
        <v>89209</v>
      </c>
      <c r="J46" s="23">
        <v>732695.36</v>
      </c>
      <c r="K46" s="22">
        <f t="shared" si="0"/>
        <v>77579.390000000014</v>
      </c>
      <c r="L46" s="26">
        <f t="shared" si="1"/>
        <v>77.579390000000018</v>
      </c>
    </row>
    <row r="47" spans="1:12" ht="15.95" customHeight="1" x14ac:dyDescent="0.2">
      <c r="A47" s="159">
        <v>12101</v>
      </c>
      <c r="B47" s="481" t="s">
        <v>211</v>
      </c>
      <c r="C47" s="482"/>
      <c r="D47" s="482"/>
      <c r="E47" s="24">
        <v>581728.5</v>
      </c>
      <c r="F47" s="24">
        <v>166788.39000000001</v>
      </c>
      <c r="G47" s="160"/>
      <c r="H47" s="24">
        <v>89209</v>
      </c>
      <c r="I47" s="160"/>
      <c r="J47" s="24">
        <v>659307.89</v>
      </c>
      <c r="K47" s="25">
        <f t="shared" si="0"/>
        <v>77579.390000000014</v>
      </c>
      <c r="L47" s="163">
        <f t="shared" si="1"/>
        <v>77.579390000000018</v>
      </c>
    </row>
    <row r="48" spans="1:12" ht="15.95" customHeight="1" x14ac:dyDescent="0.2">
      <c r="A48" s="157">
        <v>1210101</v>
      </c>
      <c r="B48" s="480" t="s">
        <v>212</v>
      </c>
      <c r="C48" s="476"/>
      <c r="D48" s="476"/>
      <c r="E48" s="23">
        <v>356447.59</v>
      </c>
      <c r="F48" s="23">
        <v>69512.490000000005</v>
      </c>
      <c r="H48" s="23">
        <v>0</v>
      </c>
      <c r="J48" s="23">
        <v>425960.08</v>
      </c>
      <c r="K48" s="22">
        <f t="shared" si="0"/>
        <v>69512.489999999991</v>
      </c>
      <c r="L48" s="26">
        <f t="shared" si="1"/>
        <v>69.512489999999985</v>
      </c>
    </row>
    <row r="49" spans="1:12" ht="15.95" customHeight="1" x14ac:dyDescent="0.2">
      <c r="A49" s="157">
        <v>1210102</v>
      </c>
      <c r="B49" s="480" t="s">
        <v>253</v>
      </c>
      <c r="C49" s="476"/>
      <c r="D49" s="476"/>
      <c r="E49" s="23">
        <v>201852.66</v>
      </c>
      <c r="F49" s="23">
        <v>26991.15</v>
      </c>
      <c r="H49" s="23">
        <v>89209</v>
      </c>
      <c r="J49" s="23">
        <v>139634.81</v>
      </c>
      <c r="K49" s="22">
        <f t="shared" si="0"/>
        <v>-62217.850000000006</v>
      </c>
      <c r="L49" s="26">
        <f t="shared" si="1"/>
        <v>-62.217850000000006</v>
      </c>
    </row>
    <row r="50" spans="1:12" ht="15.95" customHeight="1" x14ac:dyDescent="0.2">
      <c r="A50" s="157">
        <v>1210106</v>
      </c>
      <c r="B50" s="480" t="s">
        <v>264</v>
      </c>
      <c r="C50" s="476"/>
      <c r="D50" s="476"/>
      <c r="E50" s="23">
        <v>23428.25</v>
      </c>
      <c r="F50" s="23">
        <v>70284.75</v>
      </c>
      <c r="H50" s="23">
        <v>0</v>
      </c>
      <c r="J50" s="23">
        <v>93713</v>
      </c>
      <c r="K50" s="22">
        <f t="shared" si="0"/>
        <v>70284.75</v>
      </c>
      <c r="L50" s="26">
        <f t="shared" si="1"/>
        <v>70.284750000000003</v>
      </c>
    </row>
    <row r="51" spans="1:12" ht="15.95" customHeight="1" x14ac:dyDescent="0.2">
      <c r="A51" s="157">
        <v>12102</v>
      </c>
      <c r="B51" s="480" t="s">
        <v>96</v>
      </c>
      <c r="C51" s="476"/>
      <c r="D51" s="476"/>
      <c r="E51" s="23">
        <v>73387.47</v>
      </c>
      <c r="F51" s="23">
        <v>0</v>
      </c>
      <c r="H51" s="23">
        <v>0</v>
      </c>
      <c r="J51" s="23">
        <v>73387.47</v>
      </c>
      <c r="K51" s="22">
        <f t="shared" si="0"/>
        <v>0</v>
      </c>
      <c r="L51" s="26">
        <f t="shared" si="1"/>
        <v>0</v>
      </c>
    </row>
    <row r="52" spans="1:12" ht="15.95" customHeight="1" x14ac:dyDescent="0.2">
      <c r="A52" s="157">
        <v>1210201</v>
      </c>
      <c r="B52" s="480" t="s">
        <v>97</v>
      </c>
      <c r="C52" s="476"/>
      <c r="D52" s="476"/>
      <c r="E52" s="23">
        <v>73387.47</v>
      </c>
      <c r="F52" s="23">
        <v>0</v>
      </c>
      <c r="H52" s="23">
        <v>0</v>
      </c>
      <c r="J52" s="23">
        <v>73387.47</v>
      </c>
      <c r="K52" s="22">
        <f t="shared" si="0"/>
        <v>0</v>
      </c>
      <c r="L52" s="26">
        <f t="shared" si="1"/>
        <v>0</v>
      </c>
    </row>
    <row r="53" spans="1:12" ht="15.95" customHeight="1" x14ac:dyDescent="0.2">
      <c r="A53" s="157">
        <v>122</v>
      </c>
      <c r="B53" s="480" t="s">
        <v>268</v>
      </c>
      <c r="C53" s="476"/>
      <c r="D53" s="476"/>
      <c r="E53" s="23">
        <v>12203.91</v>
      </c>
      <c r="F53" s="23">
        <v>0</v>
      </c>
      <c r="H53" s="23">
        <v>0</v>
      </c>
      <c r="J53" s="23">
        <v>12203.91</v>
      </c>
      <c r="K53" s="22">
        <f t="shared" si="0"/>
        <v>0</v>
      </c>
      <c r="L53" s="26">
        <f t="shared" si="1"/>
        <v>0</v>
      </c>
    </row>
    <row r="54" spans="1:12" ht="15.95" customHeight="1" x14ac:dyDescent="0.2">
      <c r="A54" s="157">
        <v>12201</v>
      </c>
      <c r="B54" s="480" t="s">
        <v>268</v>
      </c>
      <c r="C54" s="476"/>
      <c r="D54" s="476"/>
      <c r="E54" s="23">
        <v>12203.91</v>
      </c>
      <c r="F54" s="23">
        <v>0</v>
      </c>
      <c r="H54" s="23">
        <v>0</v>
      </c>
      <c r="J54" s="23">
        <v>12203.91</v>
      </c>
      <c r="K54" s="22">
        <f t="shared" si="0"/>
        <v>0</v>
      </c>
      <c r="L54" s="26">
        <f t="shared" si="1"/>
        <v>0</v>
      </c>
    </row>
    <row r="55" spans="1:12" ht="27.95" customHeight="1" x14ac:dyDescent="0.2">
      <c r="A55" s="157">
        <v>1220105</v>
      </c>
      <c r="B55" s="480" t="s">
        <v>269</v>
      </c>
      <c r="C55" s="476"/>
      <c r="D55" s="476"/>
      <c r="E55" s="23">
        <v>12203.91</v>
      </c>
      <c r="F55" s="23">
        <v>0</v>
      </c>
      <c r="H55" s="23">
        <v>0</v>
      </c>
      <c r="J55" s="23">
        <v>12203.91</v>
      </c>
      <c r="K55" s="22">
        <f t="shared" si="0"/>
        <v>0</v>
      </c>
      <c r="L55" s="26">
        <f t="shared" si="1"/>
        <v>0</v>
      </c>
    </row>
    <row r="56" spans="1:12" ht="15.95" customHeight="1" x14ac:dyDescent="0.2">
      <c r="A56" s="157">
        <v>123</v>
      </c>
      <c r="B56" s="480" t="s">
        <v>274</v>
      </c>
      <c r="C56" s="476"/>
      <c r="D56" s="476"/>
      <c r="E56" s="23">
        <v>294280305.94</v>
      </c>
      <c r="F56" s="23">
        <v>222034.66</v>
      </c>
      <c r="H56" s="23">
        <v>3946907.69</v>
      </c>
      <c r="J56" s="23">
        <v>290555432.91000003</v>
      </c>
      <c r="K56" s="22">
        <f t="shared" si="0"/>
        <v>-3724873.0299999714</v>
      </c>
      <c r="L56" s="26">
        <f t="shared" si="1"/>
        <v>-3724.8730299999715</v>
      </c>
    </row>
    <row r="57" spans="1:12" ht="15.95" customHeight="1" x14ac:dyDescent="0.2">
      <c r="A57" s="159">
        <v>12301</v>
      </c>
      <c r="B57" s="481" t="s">
        <v>274</v>
      </c>
      <c r="C57" s="482"/>
      <c r="D57" s="482"/>
      <c r="E57" s="24">
        <v>395178815.94999999</v>
      </c>
      <c r="F57" s="24">
        <v>74558.929999999993</v>
      </c>
      <c r="G57" s="160"/>
      <c r="H57" s="24">
        <v>0</v>
      </c>
      <c r="I57" s="160"/>
      <c r="J57" s="24">
        <v>395253374.88</v>
      </c>
      <c r="K57" s="25">
        <f t="shared" si="0"/>
        <v>74558.930000007153</v>
      </c>
      <c r="L57" s="163">
        <f t="shared" si="1"/>
        <v>74.558930000007152</v>
      </c>
    </row>
    <row r="58" spans="1:12" ht="15.95" customHeight="1" x14ac:dyDescent="0.2">
      <c r="A58" s="157">
        <v>1230101</v>
      </c>
      <c r="B58" s="480" t="s">
        <v>275</v>
      </c>
      <c r="C58" s="476"/>
      <c r="D58" s="476"/>
      <c r="E58" s="23">
        <v>15580076.41</v>
      </c>
      <c r="F58" s="23">
        <v>59800</v>
      </c>
      <c r="H58" s="23">
        <v>0</v>
      </c>
      <c r="J58" s="23">
        <v>15639876.41</v>
      </c>
      <c r="K58" s="22">
        <f t="shared" si="0"/>
        <v>59800</v>
      </c>
      <c r="L58" s="26">
        <f t="shared" si="1"/>
        <v>59.8</v>
      </c>
    </row>
    <row r="59" spans="1:12" ht="15.95" customHeight="1" x14ac:dyDescent="0.2">
      <c r="A59" s="157">
        <v>1230102</v>
      </c>
      <c r="B59" s="480" t="s">
        <v>296</v>
      </c>
      <c r="C59" s="476"/>
      <c r="D59" s="476"/>
      <c r="E59" s="23">
        <v>144659770.72999999</v>
      </c>
      <c r="F59" s="23">
        <v>0</v>
      </c>
      <c r="H59" s="23">
        <v>0</v>
      </c>
      <c r="J59" s="23">
        <v>144659770.72999999</v>
      </c>
      <c r="K59" s="22">
        <f t="shared" si="0"/>
        <v>0</v>
      </c>
      <c r="L59" s="26">
        <f t="shared" si="1"/>
        <v>0</v>
      </c>
    </row>
    <row r="60" spans="1:12" ht="15.95" customHeight="1" x14ac:dyDescent="0.2">
      <c r="A60" s="157">
        <v>1230103</v>
      </c>
      <c r="B60" s="480" t="s">
        <v>339</v>
      </c>
      <c r="C60" s="476"/>
      <c r="D60" s="476"/>
      <c r="E60" s="23">
        <v>382225.69</v>
      </c>
      <c r="F60" s="23">
        <v>14758.93</v>
      </c>
      <c r="H60" s="23">
        <v>0</v>
      </c>
      <c r="J60" s="23">
        <v>396984.62</v>
      </c>
      <c r="K60" s="22">
        <f t="shared" si="0"/>
        <v>14758.929999999993</v>
      </c>
      <c r="L60" s="26">
        <f t="shared" si="1"/>
        <v>14.758929999999992</v>
      </c>
    </row>
    <row r="61" spans="1:12" ht="15.95" customHeight="1" x14ac:dyDescent="0.2">
      <c r="A61" s="157">
        <v>1230104</v>
      </c>
      <c r="B61" s="480" t="s">
        <v>342</v>
      </c>
      <c r="C61" s="476"/>
      <c r="D61" s="476"/>
      <c r="E61" s="23">
        <v>1626929.13</v>
      </c>
      <c r="F61" s="23">
        <v>0</v>
      </c>
      <c r="H61" s="23">
        <v>0</v>
      </c>
      <c r="J61" s="23">
        <v>1626929.13</v>
      </c>
      <c r="K61" s="22">
        <f t="shared" si="0"/>
        <v>0</v>
      </c>
      <c r="L61" s="26">
        <f t="shared" si="1"/>
        <v>0</v>
      </c>
    </row>
    <row r="62" spans="1:12" ht="15.95" customHeight="1" x14ac:dyDescent="0.2">
      <c r="A62" s="157">
        <v>1230105</v>
      </c>
      <c r="B62" s="480" t="s">
        <v>349</v>
      </c>
      <c r="C62" s="476"/>
      <c r="D62" s="476"/>
      <c r="E62" s="23">
        <v>238454443.41</v>
      </c>
      <c r="F62" s="23">
        <v>0</v>
      </c>
      <c r="H62" s="23">
        <v>0</v>
      </c>
      <c r="J62" s="23">
        <v>238454443.41</v>
      </c>
      <c r="K62" s="22">
        <f t="shared" si="0"/>
        <v>0</v>
      </c>
      <c r="L62" s="26">
        <f t="shared" si="1"/>
        <v>0</v>
      </c>
    </row>
    <row r="63" spans="1:12" ht="15.95" customHeight="1" x14ac:dyDescent="0.2">
      <c r="A63" s="157">
        <v>1230108</v>
      </c>
      <c r="B63" s="480" t="s">
        <v>360</v>
      </c>
      <c r="C63" s="476"/>
      <c r="D63" s="476"/>
      <c r="E63" s="23">
        <v>-5524629.4199999999</v>
      </c>
      <c r="F63" s="23">
        <v>0</v>
      </c>
      <c r="H63" s="23">
        <v>0</v>
      </c>
      <c r="J63" s="23">
        <v>-5524629.4199999999</v>
      </c>
      <c r="K63" s="22">
        <f t="shared" si="0"/>
        <v>0</v>
      </c>
      <c r="L63" s="26">
        <f t="shared" si="1"/>
        <v>0</v>
      </c>
    </row>
    <row r="64" spans="1:12" ht="15.95" customHeight="1" x14ac:dyDescent="0.2">
      <c r="A64" s="157">
        <v>12399</v>
      </c>
      <c r="B64" s="480" t="s">
        <v>399</v>
      </c>
      <c r="C64" s="476"/>
      <c r="D64" s="476"/>
      <c r="E64" s="23">
        <v>-100898510.01000001</v>
      </c>
      <c r="F64" s="23">
        <v>147475.73000000001</v>
      </c>
      <c r="H64" s="23">
        <v>3946907.69</v>
      </c>
      <c r="J64" s="23">
        <v>-104697941.97</v>
      </c>
      <c r="K64" s="22">
        <f t="shared" si="0"/>
        <v>-3799431.9599999934</v>
      </c>
      <c r="L64" s="26">
        <f t="shared" si="1"/>
        <v>-3799.4319599999935</v>
      </c>
    </row>
    <row r="65" spans="1:12" ht="15.95" customHeight="1" x14ac:dyDescent="0.2">
      <c r="A65" s="157">
        <v>1239901</v>
      </c>
      <c r="B65" s="480" t="s">
        <v>400</v>
      </c>
      <c r="C65" s="476"/>
      <c r="D65" s="476"/>
      <c r="E65" s="23">
        <v>-7426228.79</v>
      </c>
      <c r="F65" s="23">
        <v>0</v>
      </c>
      <c r="H65" s="23">
        <v>317051.77</v>
      </c>
      <c r="J65" s="23">
        <v>-7743280.5599999996</v>
      </c>
      <c r="K65" s="22">
        <f t="shared" si="0"/>
        <v>-317051.76999999955</v>
      </c>
      <c r="L65" s="26">
        <f t="shared" si="1"/>
        <v>-317.05176999999958</v>
      </c>
    </row>
    <row r="66" spans="1:12" ht="15.95" customHeight="1" x14ac:dyDescent="0.2">
      <c r="A66" s="157">
        <v>1239902</v>
      </c>
      <c r="B66" s="480" t="s">
        <v>412</v>
      </c>
      <c r="C66" s="476"/>
      <c r="D66" s="476"/>
      <c r="E66" s="23">
        <v>-64945831.380000003</v>
      </c>
      <c r="F66" s="23">
        <v>0</v>
      </c>
      <c r="H66" s="23">
        <v>1074334.9099999999</v>
      </c>
      <c r="J66" s="23">
        <v>-66020166.289999999</v>
      </c>
      <c r="K66" s="22">
        <f t="shared" si="0"/>
        <v>-1074334.9099999964</v>
      </c>
      <c r="L66" s="26">
        <f t="shared" si="1"/>
        <v>-1074.3349099999964</v>
      </c>
    </row>
    <row r="67" spans="1:12" ht="15.95" customHeight="1" x14ac:dyDescent="0.2">
      <c r="A67" s="157">
        <v>1239903</v>
      </c>
      <c r="B67" s="480" t="s">
        <v>434</v>
      </c>
      <c r="C67" s="476"/>
      <c r="D67" s="476"/>
      <c r="E67" s="23">
        <v>7039614.0199999996</v>
      </c>
      <c r="F67" s="23">
        <v>147475.73000000001</v>
      </c>
      <c r="H67" s="23">
        <v>73688.990000000005</v>
      </c>
      <c r="J67" s="23">
        <v>7113400.7599999998</v>
      </c>
      <c r="K67" s="22">
        <f t="shared" ref="K67:K130" si="2">J67-E67</f>
        <v>73786.740000000224</v>
      </c>
      <c r="L67" s="26">
        <f t="shared" ref="L67:L130" si="3">K67/1000</f>
        <v>73.786740000000222</v>
      </c>
    </row>
    <row r="68" spans="1:12" ht="15.95" customHeight="1" x14ac:dyDescent="0.2">
      <c r="A68" s="157">
        <v>1239904</v>
      </c>
      <c r="B68" s="480" t="s">
        <v>439</v>
      </c>
      <c r="C68" s="476"/>
      <c r="D68" s="476"/>
      <c r="E68" s="23">
        <v>-35566063.859999999</v>
      </c>
      <c r="F68" s="23">
        <v>0</v>
      </c>
      <c r="H68" s="23">
        <v>2481832.02</v>
      </c>
      <c r="J68" s="23">
        <v>-38047895.880000003</v>
      </c>
      <c r="K68" s="22">
        <f t="shared" si="2"/>
        <v>-2481832.0200000033</v>
      </c>
      <c r="L68" s="26">
        <f t="shared" si="3"/>
        <v>-2481.8320200000035</v>
      </c>
    </row>
    <row r="69" spans="1:12" ht="15.95" customHeight="1" x14ac:dyDescent="0.2">
      <c r="A69" s="157">
        <v>124</v>
      </c>
      <c r="B69" s="480" t="s">
        <v>448</v>
      </c>
      <c r="C69" s="476"/>
      <c r="D69" s="476"/>
      <c r="E69" s="23">
        <v>996820.69</v>
      </c>
      <c r="F69" s="23">
        <v>0</v>
      </c>
      <c r="H69" s="23">
        <v>102908.85</v>
      </c>
      <c r="J69" s="23">
        <v>893911.84</v>
      </c>
      <c r="K69" s="22">
        <f t="shared" si="2"/>
        <v>-102908.84999999998</v>
      </c>
      <c r="L69" s="26">
        <f t="shared" si="3"/>
        <v>-102.90884999999997</v>
      </c>
    </row>
    <row r="70" spans="1:12" ht="15.95" customHeight="1" x14ac:dyDescent="0.2">
      <c r="A70" s="159">
        <v>12401</v>
      </c>
      <c r="B70" s="481" t="s">
        <v>448</v>
      </c>
      <c r="C70" s="482"/>
      <c r="D70" s="482"/>
      <c r="E70" s="24">
        <v>7809896.1799999997</v>
      </c>
      <c r="F70" s="24">
        <v>0</v>
      </c>
      <c r="G70" s="160"/>
      <c r="H70" s="24">
        <v>0</v>
      </c>
      <c r="I70" s="160"/>
      <c r="J70" s="24">
        <v>7809896.1799999997</v>
      </c>
      <c r="K70" s="25">
        <f t="shared" si="2"/>
        <v>0</v>
      </c>
      <c r="L70" s="163">
        <f t="shared" si="3"/>
        <v>0</v>
      </c>
    </row>
    <row r="71" spans="1:12" ht="15.95" customHeight="1" x14ac:dyDescent="0.2">
      <c r="A71" s="157">
        <v>1240101</v>
      </c>
      <c r="B71" s="480" t="s">
        <v>448</v>
      </c>
      <c r="C71" s="476"/>
      <c r="D71" s="476"/>
      <c r="E71" s="23">
        <v>7809896.1799999997</v>
      </c>
      <c r="F71" s="23">
        <v>0</v>
      </c>
      <c r="H71" s="23">
        <v>0</v>
      </c>
      <c r="J71" s="23">
        <v>7809896.1799999997</v>
      </c>
      <c r="K71" s="22">
        <f t="shared" si="2"/>
        <v>0</v>
      </c>
      <c r="L71" s="26">
        <f t="shared" si="3"/>
        <v>0</v>
      </c>
    </row>
    <row r="72" spans="1:12" ht="15.95" customHeight="1" x14ac:dyDescent="0.2">
      <c r="A72" s="157">
        <v>12499</v>
      </c>
      <c r="B72" s="480" t="s">
        <v>451</v>
      </c>
      <c r="C72" s="476"/>
      <c r="D72" s="476"/>
      <c r="E72" s="23">
        <v>-6813075.4900000002</v>
      </c>
      <c r="F72" s="23">
        <v>0</v>
      </c>
      <c r="H72" s="23">
        <v>102908.85</v>
      </c>
      <c r="J72" s="23">
        <v>-6915984.3399999999</v>
      </c>
      <c r="K72" s="22">
        <f t="shared" si="2"/>
        <v>-102908.84999999963</v>
      </c>
      <c r="L72" s="26">
        <f t="shared" si="3"/>
        <v>-102.90884999999963</v>
      </c>
    </row>
    <row r="73" spans="1:12" ht="15.95" customHeight="1" x14ac:dyDescent="0.2">
      <c r="A73" s="157">
        <v>1249901</v>
      </c>
      <c r="B73" s="480" t="s">
        <v>451</v>
      </c>
      <c r="C73" s="476"/>
      <c r="D73" s="476"/>
      <c r="E73" s="23">
        <v>-6811546.21</v>
      </c>
      <c r="F73" s="23">
        <v>0</v>
      </c>
      <c r="H73" s="23">
        <v>102908.85</v>
      </c>
      <c r="J73" s="23">
        <v>-6914455.0599999996</v>
      </c>
      <c r="K73" s="22">
        <f t="shared" si="2"/>
        <v>-102908.84999999963</v>
      </c>
      <c r="L73" s="26">
        <f t="shared" si="3"/>
        <v>-102.90884999999963</v>
      </c>
    </row>
    <row r="74" spans="1:12" ht="15.95" customHeight="1" x14ac:dyDescent="0.2">
      <c r="A74" s="157">
        <v>1249902</v>
      </c>
      <c r="B74" s="480" t="s">
        <v>453</v>
      </c>
      <c r="C74" s="476"/>
      <c r="D74" s="476"/>
      <c r="E74" s="23">
        <v>-1529.28</v>
      </c>
      <c r="F74" s="23">
        <v>0</v>
      </c>
      <c r="H74" s="23">
        <v>0</v>
      </c>
      <c r="J74" s="23">
        <v>-1529.28</v>
      </c>
      <c r="K74" s="22">
        <f t="shared" si="2"/>
        <v>0</v>
      </c>
      <c r="L74" s="26">
        <f t="shared" si="3"/>
        <v>0</v>
      </c>
    </row>
    <row r="75" spans="1:12" ht="15.95" customHeight="1" x14ac:dyDescent="0.2">
      <c r="A75" s="157">
        <v>13</v>
      </c>
      <c r="B75" s="480" t="s">
        <v>455</v>
      </c>
      <c r="C75" s="476"/>
      <c r="D75" s="476"/>
      <c r="E75" s="23">
        <v>1236717.49</v>
      </c>
      <c r="F75" s="23">
        <v>0</v>
      </c>
      <c r="H75" s="23">
        <v>0</v>
      </c>
      <c r="J75" s="23">
        <v>1236717.49</v>
      </c>
      <c r="K75" s="22">
        <f t="shared" si="2"/>
        <v>0</v>
      </c>
      <c r="L75" s="26">
        <f t="shared" si="3"/>
        <v>0</v>
      </c>
    </row>
    <row r="76" spans="1:12" ht="15.95" customHeight="1" x14ac:dyDescent="0.2">
      <c r="A76" s="157">
        <v>131</v>
      </c>
      <c r="B76" s="480" t="s">
        <v>456</v>
      </c>
      <c r="C76" s="476"/>
      <c r="D76" s="476"/>
      <c r="E76" s="23">
        <v>1236717.49</v>
      </c>
      <c r="F76" s="23">
        <v>0</v>
      </c>
      <c r="H76" s="23">
        <v>0</v>
      </c>
      <c r="J76" s="23">
        <v>1236717.49</v>
      </c>
      <c r="K76" s="22">
        <f t="shared" si="2"/>
        <v>0</v>
      </c>
      <c r="L76" s="26">
        <f t="shared" si="3"/>
        <v>0</v>
      </c>
    </row>
    <row r="77" spans="1:12" ht="15.95" customHeight="1" x14ac:dyDescent="0.2">
      <c r="A77" s="157">
        <v>13101</v>
      </c>
      <c r="B77" s="480" t="s">
        <v>344</v>
      </c>
      <c r="C77" s="476"/>
      <c r="D77" s="476"/>
      <c r="E77" s="23">
        <v>1236717.49</v>
      </c>
      <c r="F77" s="23">
        <v>0</v>
      </c>
      <c r="H77" s="23">
        <v>0</v>
      </c>
      <c r="J77" s="23">
        <v>1236717.49</v>
      </c>
      <c r="K77" s="22">
        <f t="shared" si="2"/>
        <v>0</v>
      </c>
      <c r="L77" s="26">
        <f t="shared" si="3"/>
        <v>0</v>
      </c>
    </row>
    <row r="78" spans="1:12" ht="15.95" customHeight="1" x14ac:dyDescent="0.2">
      <c r="A78" s="157">
        <v>1310101</v>
      </c>
      <c r="B78" s="480" t="s">
        <v>457</v>
      </c>
      <c r="C78" s="476"/>
      <c r="D78" s="476"/>
      <c r="E78" s="23">
        <v>1236717.49</v>
      </c>
      <c r="F78" s="23">
        <v>0</v>
      </c>
      <c r="H78" s="23">
        <v>0</v>
      </c>
      <c r="J78" s="23">
        <v>1236717.49</v>
      </c>
      <c r="K78" s="22">
        <f t="shared" si="2"/>
        <v>0</v>
      </c>
      <c r="L78" s="26">
        <f t="shared" si="3"/>
        <v>0</v>
      </c>
    </row>
    <row r="79" spans="1:12" ht="15.95" customHeight="1" x14ac:dyDescent="0.2">
      <c r="A79" s="157">
        <v>2</v>
      </c>
      <c r="B79" s="480" t="s">
        <v>460</v>
      </c>
      <c r="C79" s="476"/>
      <c r="D79" s="476"/>
      <c r="E79" s="23">
        <v>-312886843.25999999</v>
      </c>
      <c r="F79" s="23">
        <v>27264395.620000001</v>
      </c>
      <c r="H79" s="23">
        <v>25700935.23</v>
      </c>
      <c r="J79" s="23">
        <v>-311323382.87</v>
      </c>
      <c r="K79" s="22">
        <f t="shared" si="2"/>
        <v>1563460.3899999857</v>
      </c>
      <c r="L79" s="26">
        <f t="shared" si="3"/>
        <v>1563.4603899999856</v>
      </c>
    </row>
    <row r="80" spans="1:12" ht="15.95" customHeight="1" x14ac:dyDescent="0.2">
      <c r="A80" s="157">
        <v>21</v>
      </c>
      <c r="B80" s="480" t="s">
        <v>461</v>
      </c>
      <c r="C80" s="476"/>
      <c r="D80" s="476"/>
      <c r="E80" s="23">
        <v>-18484679.27</v>
      </c>
      <c r="F80" s="23">
        <v>19476677.440000001</v>
      </c>
      <c r="H80" s="23">
        <v>17613622.210000001</v>
      </c>
      <c r="J80" s="23">
        <v>-16621624.039999999</v>
      </c>
      <c r="K80" s="22">
        <f t="shared" si="2"/>
        <v>1863055.2300000004</v>
      </c>
      <c r="L80" s="26">
        <f t="shared" si="3"/>
        <v>1863.0552300000004</v>
      </c>
    </row>
    <row r="81" spans="1:12" ht="15.95" customHeight="1" x14ac:dyDescent="0.2">
      <c r="A81" s="157">
        <v>211</v>
      </c>
      <c r="B81" s="480" t="s">
        <v>462</v>
      </c>
      <c r="C81" s="476"/>
      <c r="D81" s="476"/>
      <c r="E81" s="23">
        <v>-1008264.17</v>
      </c>
      <c r="F81" s="23">
        <v>6727004.6299999999</v>
      </c>
      <c r="H81" s="23">
        <v>6731270.8700000001</v>
      </c>
      <c r="J81" s="23">
        <v>-1012530.41</v>
      </c>
      <c r="K81" s="22">
        <f t="shared" si="2"/>
        <v>-4266.2399999999907</v>
      </c>
      <c r="L81" s="26">
        <f t="shared" si="3"/>
        <v>-4.2662399999999909</v>
      </c>
    </row>
    <row r="82" spans="1:12" ht="15.95" customHeight="1" x14ac:dyDescent="0.2">
      <c r="A82" s="159">
        <v>21101</v>
      </c>
      <c r="B82" s="481" t="s">
        <v>462</v>
      </c>
      <c r="C82" s="482"/>
      <c r="D82" s="482"/>
      <c r="E82" s="24">
        <v>-1008264.17</v>
      </c>
      <c r="F82" s="24">
        <v>6727004.6299999999</v>
      </c>
      <c r="G82" s="160"/>
      <c r="H82" s="24">
        <v>6731270.8700000001</v>
      </c>
      <c r="I82" s="160"/>
      <c r="J82" s="24">
        <v>-1012530.41</v>
      </c>
      <c r="K82" s="25">
        <f t="shared" si="2"/>
        <v>-4266.2399999999907</v>
      </c>
      <c r="L82" s="163">
        <f t="shared" si="3"/>
        <v>-4.2662399999999909</v>
      </c>
    </row>
    <row r="83" spans="1:12" ht="15.95" customHeight="1" x14ac:dyDescent="0.2">
      <c r="A83" s="157">
        <v>2110101</v>
      </c>
      <c r="B83" s="480" t="s">
        <v>463</v>
      </c>
      <c r="C83" s="476"/>
      <c r="D83" s="476"/>
      <c r="E83" s="23">
        <v>-747373.37</v>
      </c>
      <c r="F83" s="23">
        <v>5966948.4800000004</v>
      </c>
      <c r="H83" s="23">
        <v>6064311.6100000003</v>
      </c>
      <c r="J83" s="23">
        <v>-844736.5</v>
      </c>
      <c r="K83" s="22">
        <f t="shared" si="2"/>
        <v>-97363.13</v>
      </c>
      <c r="L83" s="26">
        <f t="shared" si="3"/>
        <v>-97.363129999999998</v>
      </c>
    </row>
    <row r="84" spans="1:12" ht="15.95" customHeight="1" x14ac:dyDescent="0.2">
      <c r="A84" s="157">
        <v>2110102</v>
      </c>
      <c r="B84" s="480" t="s">
        <v>566</v>
      </c>
      <c r="C84" s="476"/>
      <c r="D84" s="476"/>
      <c r="E84" s="23">
        <v>-260890.8</v>
      </c>
      <c r="F84" s="23">
        <v>760056.15</v>
      </c>
      <c r="H84" s="23">
        <v>666959.26</v>
      </c>
      <c r="J84" s="23">
        <v>-167793.91</v>
      </c>
      <c r="K84" s="22">
        <f t="shared" si="2"/>
        <v>93096.889999999985</v>
      </c>
      <c r="L84" s="26">
        <f t="shared" si="3"/>
        <v>93.096889999999988</v>
      </c>
    </row>
    <row r="85" spans="1:12" ht="15.95" customHeight="1" x14ac:dyDescent="0.2">
      <c r="A85" s="159">
        <v>213</v>
      </c>
      <c r="B85" s="481" t="s">
        <v>615</v>
      </c>
      <c r="C85" s="482"/>
      <c r="D85" s="482"/>
      <c r="E85" s="24">
        <v>-3083384.52</v>
      </c>
      <c r="F85" s="24">
        <v>4690216.43</v>
      </c>
      <c r="G85" s="160"/>
      <c r="H85" s="24">
        <v>4461851.47</v>
      </c>
      <c r="I85" s="160"/>
      <c r="J85" s="24">
        <v>-2855019.56</v>
      </c>
      <c r="K85" s="25">
        <f t="shared" si="2"/>
        <v>228364.95999999996</v>
      </c>
      <c r="L85" s="163">
        <f t="shared" si="3"/>
        <v>228.36495999999997</v>
      </c>
    </row>
    <row r="86" spans="1:12" ht="15.95" customHeight="1" x14ac:dyDescent="0.2">
      <c r="A86" s="157">
        <v>21301</v>
      </c>
      <c r="B86" s="480" t="s">
        <v>615</v>
      </c>
      <c r="C86" s="476"/>
      <c r="D86" s="476"/>
      <c r="E86" s="23">
        <v>-3083384.52</v>
      </c>
      <c r="F86" s="23">
        <v>4690216.43</v>
      </c>
      <c r="H86" s="23">
        <v>4461851.47</v>
      </c>
      <c r="J86" s="23">
        <v>-2855019.56</v>
      </c>
      <c r="K86" s="22">
        <f t="shared" si="2"/>
        <v>228364.95999999996</v>
      </c>
      <c r="L86" s="26">
        <f t="shared" si="3"/>
        <v>228.36495999999997</v>
      </c>
    </row>
    <row r="87" spans="1:12" ht="15.95" customHeight="1" x14ac:dyDescent="0.2">
      <c r="A87" s="157">
        <v>2130101</v>
      </c>
      <c r="B87" s="480" t="s">
        <v>615</v>
      </c>
      <c r="C87" s="476"/>
      <c r="D87" s="476"/>
      <c r="E87" s="23">
        <v>-3083384.52</v>
      </c>
      <c r="F87" s="23">
        <v>4690216.43</v>
      </c>
      <c r="H87" s="23">
        <v>4461851.47</v>
      </c>
      <c r="J87" s="23">
        <v>-2855019.56</v>
      </c>
      <c r="K87" s="22">
        <f t="shared" si="2"/>
        <v>228364.95999999996</v>
      </c>
      <c r="L87" s="26">
        <f t="shared" si="3"/>
        <v>228.36495999999997</v>
      </c>
    </row>
    <row r="88" spans="1:12" ht="15.95" customHeight="1" x14ac:dyDescent="0.2">
      <c r="A88" s="159">
        <v>214</v>
      </c>
      <c r="B88" s="481" t="s">
        <v>628</v>
      </c>
      <c r="C88" s="482"/>
      <c r="D88" s="482"/>
      <c r="E88" s="24">
        <v>-6512241.04</v>
      </c>
      <c r="F88" s="24">
        <v>6567124.2000000002</v>
      </c>
      <c r="G88" s="160"/>
      <c r="H88" s="24">
        <v>4300071.75</v>
      </c>
      <c r="I88" s="160"/>
      <c r="J88" s="24">
        <v>-4245188.59</v>
      </c>
      <c r="K88" s="25">
        <f t="shared" si="2"/>
        <v>2267052.4500000002</v>
      </c>
      <c r="L88" s="163">
        <f t="shared" si="3"/>
        <v>2267.0524500000001</v>
      </c>
    </row>
    <row r="89" spans="1:12" ht="15.95" customHeight="1" x14ac:dyDescent="0.2">
      <c r="A89" s="157">
        <v>21401</v>
      </c>
      <c r="B89" s="480" t="s">
        <v>628</v>
      </c>
      <c r="C89" s="476"/>
      <c r="D89" s="476"/>
      <c r="E89" s="23">
        <v>-6512241.04</v>
      </c>
      <c r="F89" s="23">
        <v>6567124.2000000002</v>
      </c>
      <c r="H89" s="23">
        <v>4300071.75</v>
      </c>
      <c r="J89" s="23">
        <v>-4245188.59</v>
      </c>
      <c r="K89" s="22">
        <f t="shared" si="2"/>
        <v>2267052.4500000002</v>
      </c>
      <c r="L89" s="26">
        <f t="shared" si="3"/>
        <v>2267.0524500000001</v>
      </c>
    </row>
    <row r="90" spans="1:12" ht="15.95" customHeight="1" x14ac:dyDescent="0.2">
      <c r="A90" s="157">
        <v>2140101</v>
      </c>
      <c r="B90" s="480" t="s">
        <v>628</v>
      </c>
      <c r="C90" s="476"/>
      <c r="D90" s="476"/>
      <c r="E90" s="23">
        <v>-6512241.04</v>
      </c>
      <c r="F90" s="23">
        <v>6567124.2000000002</v>
      </c>
      <c r="H90" s="23">
        <v>4300071.75</v>
      </c>
      <c r="J90" s="23">
        <v>-4245188.59</v>
      </c>
      <c r="K90" s="22">
        <f t="shared" si="2"/>
        <v>2267052.4500000002</v>
      </c>
      <c r="L90" s="26">
        <f t="shared" si="3"/>
        <v>2267.0524500000001</v>
      </c>
    </row>
    <row r="91" spans="1:12" ht="15.95" customHeight="1" x14ac:dyDescent="0.2">
      <c r="A91" s="159">
        <v>215</v>
      </c>
      <c r="B91" s="481" t="s">
        <v>655</v>
      </c>
      <c r="C91" s="482"/>
      <c r="D91" s="482"/>
      <c r="E91" s="24">
        <v>-237660.49</v>
      </c>
      <c r="F91" s="24">
        <v>719403.55</v>
      </c>
      <c r="G91" s="160"/>
      <c r="H91" s="24">
        <v>707729.16</v>
      </c>
      <c r="I91" s="160"/>
      <c r="J91" s="24">
        <v>-225986.1</v>
      </c>
      <c r="K91" s="25">
        <f t="shared" si="2"/>
        <v>11674.389999999985</v>
      </c>
      <c r="L91" s="163">
        <f t="shared" si="3"/>
        <v>11.674389999999985</v>
      </c>
    </row>
    <row r="92" spans="1:12" ht="15.95" customHeight="1" x14ac:dyDescent="0.2">
      <c r="A92" s="157">
        <v>21501</v>
      </c>
      <c r="B92" s="480" t="s">
        <v>655</v>
      </c>
      <c r="C92" s="476"/>
      <c r="D92" s="476"/>
      <c r="E92" s="23">
        <v>-237660.49</v>
      </c>
      <c r="F92" s="23">
        <v>719403.55</v>
      </c>
      <c r="H92" s="23">
        <v>707729.16</v>
      </c>
      <c r="J92" s="23">
        <v>-225986.1</v>
      </c>
      <c r="K92" s="22">
        <f t="shared" si="2"/>
        <v>11674.389999999985</v>
      </c>
      <c r="L92" s="26">
        <f t="shared" si="3"/>
        <v>11.674389999999985</v>
      </c>
    </row>
    <row r="93" spans="1:12" ht="15.95" customHeight="1" x14ac:dyDescent="0.2">
      <c r="A93" s="157">
        <v>2150101</v>
      </c>
      <c r="B93" s="480" t="s">
        <v>656</v>
      </c>
      <c r="C93" s="476"/>
      <c r="D93" s="476"/>
      <c r="E93" s="23">
        <v>-200268.27</v>
      </c>
      <c r="F93" s="23">
        <v>593405.9</v>
      </c>
      <c r="H93" s="23">
        <v>585352.62</v>
      </c>
      <c r="J93" s="23">
        <v>-192214.99</v>
      </c>
      <c r="K93" s="22">
        <f t="shared" si="2"/>
        <v>8053.2799999999988</v>
      </c>
      <c r="L93" s="26">
        <f t="shared" si="3"/>
        <v>8.0532799999999991</v>
      </c>
    </row>
    <row r="94" spans="1:12" ht="15.95" customHeight="1" x14ac:dyDescent="0.2">
      <c r="A94" s="157">
        <v>2150102</v>
      </c>
      <c r="B94" s="480" t="s">
        <v>679</v>
      </c>
      <c r="C94" s="476"/>
      <c r="D94" s="476"/>
      <c r="E94" s="23">
        <v>-37392.22</v>
      </c>
      <c r="F94" s="23">
        <v>125997.65</v>
      </c>
      <c r="H94" s="23">
        <v>122376.54</v>
      </c>
      <c r="J94" s="23">
        <v>-33771.11</v>
      </c>
      <c r="K94" s="22">
        <f t="shared" si="2"/>
        <v>3621.1100000000006</v>
      </c>
      <c r="L94" s="26">
        <f t="shared" si="3"/>
        <v>3.6211100000000007</v>
      </c>
    </row>
    <row r="95" spans="1:12" ht="15.95" customHeight="1" x14ac:dyDescent="0.2">
      <c r="A95" s="159">
        <v>217</v>
      </c>
      <c r="B95" s="481" t="s">
        <v>686</v>
      </c>
      <c r="C95" s="482"/>
      <c r="D95" s="482"/>
      <c r="E95" s="24">
        <v>-4791097.9400000004</v>
      </c>
      <c r="F95" s="24">
        <v>103342.97</v>
      </c>
      <c r="G95" s="160"/>
      <c r="H95" s="24">
        <v>293734.76</v>
      </c>
      <c r="I95" s="160"/>
      <c r="J95" s="24">
        <v>-4981489.7300000004</v>
      </c>
      <c r="K95" s="25">
        <f t="shared" si="2"/>
        <v>-190391.79000000004</v>
      </c>
      <c r="L95" s="163">
        <f t="shared" si="3"/>
        <v>-190.39179000000004</v>
      </c>
    </row>
    <row r="96" spans="1:12" ht="15.95" customHeight="1" x14ac:dyDescent="0.2">
      <c r="A96" s="157">
        <v>21701</v>
      </c>
      <c r="B96" s="480" t="s">
        <v>686</v>
      </c>
      <c r="C96" s="476"/>
      <c r="D96" s="476"/>
      <c r="E96" s="23">
        <v>-4791097.9400000004</v>
      </c>
      <c r="F96" s="23">
        <v>103342.97</v>
      </c>
      <c r="H96" s="23">
        <v>293734.76</v>
      </c>
      <c r="J96" s="23">
        <v>-4981489.7300000004</v>
      </c>
      <c r="K96" s="22">
        <f t="shared" si="2"/>
        <v>-190391.79000000004</v>
      </c>
      <c r="L96" s="26">
        <f t="shared" si="3"/>
        <v>-190.39179000000004</v>
      </c>
    </row>
    <row r="97" spans="1:15" ht="15.95" customHeight="1" x14ac:dyDescent="0.2">
      <c r="A97" s="157">
        <v>2170101</v>
      </c>
      <c r="B97" s="480" t="s">
        <v>687</v>
      </c>
      <c r="C97" s="476"/>
      <c r="D97" s="476"/>
      <c r="E97" s="23">
        <v>-197700.74</v>
      </c>
      <c r="F97" s="23">
        <v>0</v>
      </c>
      <c r="H97" s="23">
        <v>0</v>
      </c>
      <c r="J97" s="23">
        <v>-197700.74</v>
      </c>
      <c r="K97" s="22">
        <f t="shared" si="2"/>
        <v>0</v>
      </c>
      <c r="L97" s="26">
        <f t="shared" si="3"/>
        <v>0</v>
      </c>
    </row>
    <row r="98" spans="1:15" ht="15.95" customHeight="1" x14ac:dyDescent="0.2">
      <c r="A98" s="157">
        <v>2170102</v>
      </c>
      <c r="B98" s="480" t="s">
        <v>710</v>
      </c>
      <c r="C98" s="476"/>
      <c r="D98" s="476"/>
      <c r="E98" s="23">
        <v>-1689267.6</v>
      </c>
      <c r="F98" s="23">
        <v>103342.97</v>
      </c>
      <c r="H98" s="23">
        <v>121661.78</v>
      </c>
      <c r="J98" s="23">
        <v>-1707586.41</v>
      </c>
      <c r="K98" s="22">
        <f t="shared" si="2"/>
        <v>-18318.809999999823</v>
      </c>
      <c r="L98" s="26">
        <f t="shared" si="3"/>
        <v>-18.318809999999822</v>
      </c>
    </row>
    <row r="99" spans="1:15" ht="15.95" customHeight="1" x14ac:dyDescent="0.2">
      <c r="A99" s="157">
        <v>2170103</v>
      </c>
      <c r="B99" s="480" t="s">
        <v>926</v>
      </c>
      <c r="C99" s="476"/>
      <c r="D99" s="476"/>
      <c r="E99" s="23">
        <v>-2074158.23</v>
      </c>
      <c r="F99" s="23">
        <v>0</v>
      </c>
      <c r="H99" s="23">
        <v>0</v>
      </c>
      <c r="J99" s="23">
        <v>-2074158.23</v>
      </c>
      <c r="K99" s="22">
        <f t="shared" si="2"/>
        <v>0</v>
      </c>
      <c r="L99" s="26">
        <f t="shared" si="3"/>
        <v>0</v>
      </c>
    </row>
    <row r="100" spans="1:15" ht="15.95" customHeight="1" x14ac:dyDescent="0.2">
      <c r="A100" s="157">
        <v>2170104</v>
      </c>
      <c r="B100" s="480" t="s">
        <v>975</v>
      </c>
      <c r="C100" s="476"/>
      <c r="D100" s="476"/>
      <c r="E100" s="23">
        <v>-829971.37</v>
      </c>
      <c r="F100" s="23">
        <v>0</v>
      </c>
      <c r="H100" s="23">
        <v>172072.98</v>
      </c>
      <c r="J100" s="23">
        <v>-1002044.35</v>
      </c>
      <c r="K100" s="22">
        <f t="shared" si="2"/>
        <v>-172072.97999999998</v>
      </c>
      <c r="L100" s="26">
        <f t="shared" si="3"/>
        <v>-172.07297999999997</v>
      </c>
    </row>
    <row r="101" spans="1:15" ht="15.95" customHeight="1" x14ac:dyDescent="0.2">
      <c r="A101" s="157">
        <v>218</v>
      </c>
      <c r="B101" s="480" t="s">
        <v>1042</v>
      </c>
      <c r="C101" s="476"/>
      <c r="D101" s="476"/>
      <c r="E101" s="23">
        <v>-547856.61</v>
      </c>
      <c r="F101" s="23">
        <v>107662.25</v>
      </c>
      <c r="H101" s="23">
        <v>107673.15</v>
      </c>
      <c r="J101" s="23">
        <v>-547867.51</v>
      </c>
      <c r="K101" s="22">
        <f t="shared" si="2"/>
        <v>-10.900000000023283</v>
      </c>
      <c r="L101" s="26">
        <f t="shared" si="3"/>
        <v>-1.0900000000023283E-2</v>
      </c>
    </row>
    <row r="102" spans="1:15" ht="15.95" customHeight="1" x14ac:dyDescent="0.2">
      <c r="A102" s="159">
        <v>21801</v>
      </c>
      <c r="B102" s="481" t="s">
        <v>1043</v>
      </c>
      <c r="C102" s="482"/>
      <c r="D102" s="482"/>
      <c r="E102" s="24">
        <v>111270.33</v>
      </c>
      <c r="F102" s="24">
        <v>1.03</v>
      </c>
      <c r="G102" s="160"/>
      <c r="H102" s="24">
        <v>11.93</v>
      </c>
      <c r="I102" s="160"/>
      <c r="J102" s="24">
        <v>111259.43</v>
      </c>
      <c r="K102" s="25">
        <f t="shared" si="2"/>
        <v>-10.900000000008731</v>
      </c>
      <c r="L102" s="163">
        <f t="shared" si="3"/>
        <v>-1.0900000000008731E-2</v>
      </c>
    </row>
    <row r="103" spans="1:15" ht="15.95" customHeight="1" x14ac:dyDescent="0.2">
      <c r="A103" s="157">
        <v>2180102</v>
      </c>
      <c r="B103" s="480" t="s">
        <v>1044</v>
      </c>
      <c r="C103" s="476"/>
      <c r="D103" s="476"/>
      <c r="E103" s="23">
        <v>-91882.02</v>
      </c>
      <c r="F103" s="23">
        <v>1.03</v>
      </c>
      <c r="H103" s="23">
        <v>4.6100000000000003</v>
      </c>
      <c r="J103" s="23">
        <v>-91885.6</v>
      </c>
      <c r="K103" s="22">
        <f t="shared" si="2"/>
        <v>-3.5800000000017462</v>
      </c>
      <c r="L103" s="26">
        <f t="shared" si="3"/>
        <v>-3.5800000000017463E-3</v>
      </c>
    </row>
    <row r="104" spans="1:15" ht="15.95" customHeight="1" x14ac:dyDescent="0.2">
      <c r="A104" s="157">
        <v>2180103</v>
      </c>
      <c r="B104" s="480" t="s">
        <v>1047</v>
      </c>
      <c r="C104" s="476"/>
      <c r="D104" s="476"/>
      <c r="E104" s="23">
        <v>203152.35</v>
      </c>
      <c r="F104" s="23">
        <v>0</v>
      </c>
      <c r="H104" s="23">
        <v>7.32</v>
      </c>
      <c r="J104" s="23">
        <v>203145.03</v>
      </c>
      <c r="K104" s="22">
        <f t="shared" si="2"/>
        <v>-7.3200000000069849</v>
      </c>
      <c r="L104" s="26">
        <f t="shared" si="3"/>
        <v>-7.320000000006985E-3</v>
      </c>
    </row>
    <row r="105" spans="1:15" ht="15.95" customHeight="1" x14ac:dyDescent="0.2">
      <c r="A105" s="159">
        <v>21802</v>
      </c>
      <c r="B105" s="481" t="s">
        <v>1050</v>
      </c>
      <c r="C105" s="482"/>
      <c r="D105" s="482"/>
      <c r="E105" s="24">
        <v>-659126.93999999994</v>
      </c>
      <c r="F105" s="24">
        <v>107661.22</v>
      </c>
      <c r="G105" s="160"/>
      <c r="H105" s="24">
        <v>107661.22</v>
      </c>
      <c r="I105" s="160"/>
      <c r="J105" s="24">
        <v>-659126.93999999994</v>
      </c>
      <c r="K105" s="25">
        <f t="shared" si="2"/>
        <v>0</v>
      </c>
      <c r="L105" s="163">
        <f t="shared" si="3"/>
        <v>0</v>
      </c>
    </row>
    <row r="106" spans="1:15" ht="15.95" customHeight="1" x14ac:dyDescent="0.2">
      <c r="A106" s="157">
        <v>2180201</v>
      </c>
      <c r="B106" s="480" t="s">
        <v>1051</v>
      </c>
      <c r="C106" s="476"/>
      <c r="D106" s="476"/>
      <c r="E106" s="23">
        <v>-141210.92000000001</v>
      </c>
      <c r="F106" s="23">
        <v>107661.22</v>
      </c>
      <c r="H106" s="23">
        <v>0</v>
      </c>
      <c r="J106" s="23">
        <v>-33549.699999999997</v>
      </c>
      <c r="K106" s="22">
        <f t="shared" si="2"/>
        <v>107661.22000000002</v>
      </c>
      <c r="L106" s="26">
        <f t="shared" si="3"/>
        <v>107.66122000000001</v>
      </c>
    </row>
    <row r="107" spans="1:15" ht="15.95" customHeight="1" x14ac:dyDescent="0.2">
      <c r="A107" s="157">
        <v>2180202</v>
      </c>
      <c r="B107" s="480" t="s">
        <v>1054</v>
      </c>
      <c r="C107" s="476"/>
      <c r="D107" s="476"/>
      <c r="E107" s="23">
        <v>-3333.33</v>
      </c>
      <c r="F107" s="23">
        <v>0</v>
      </c>
      <c r="H107" s="23">
        <v>107661.22</v>
      </c>
      <c r="J107" s="23">
        <v>-110994.55</v>
      </c>
      <c r="K107" s="22">
        <f t="shared" si="2"/>
        <v>-107661.22</v>
      </c>
      <c r="L107" s="26">
        <f t="shared" si="3"/>
        <v>-107.66122</v>
      </c>
    </row>
    <row r="108" spans="1:15" ht="15.95" customHeight="1" x14ac:dyDescent="0.2">
      <c r="A108" s="157">
        <v>2180203</v>
      </c>
      <c r="B108" s="480" t="s">
        <v>1056</v>
      </c>
      <c r="C108" s="476"/>
      <c r="D108" s="476"/>
      <c r="E108" s="23">
        <v>-514582.69</v>
      </c>
      <c r="F108" s="23">
        <v>0</v>
      </c>
      <c r="H108" s="23">
        <v>0</v>
      </c>
      <c r="J108" s="23">
        <v>-514582.69</v>
      </c>
      <c r="K108" s="22">
        <f t="shared" si="2"/>
        <v>0</v>
      </c>
      <c r="L108" s="26">
        <f t="shared" si="3"/>
        <v>0</v>
      </c>
    </row>
    <row r="109" spans="1:15" ht="16.5" customHeight="1" x14ac:dyDescent="0.2">
      <c r="A109" s="159">
        <v>219</v>
      </c>
      <c r="B109" s="481" t="s">
        <v>1058</v>
      </c>
      <c r="C109" s="482"/>
      <c r="D109" s="482"/>
      <c r="E109" s="24">
        <v>-2304174.5</v>
      </c>
      <c r="F109" s="24">
        <v>561923.41</v>
      </c>
      <c r="G109" s="160"/>
      <c r="H109" s="24">
        <v>1011291.05</v>
      </c>
      <c r="I109" s="160"/>
      <c r="J109" s="24">
        <v>-2753542.14</v>
      </c>
      <c r="K109" s="25">
        <f t="shared" si="2"/>
        <v>-449367.64000000013</v>
      </c>
      <c r="L109" s="163">
        <f t="shared" si="3"/>
        <v>-449.36764000000011</v>
      </c>
    </row>
    <row r="110" spans="1:15" ht="15.95" customHeight="1" x14ac:dyDescent="0.2">
      <c r="A110" s="157">
        <v>21901</v>
      </c>
      <c r="B110" s="480" t="s">
        <v>1058</v>
      </c>
      <c r="C110" s="476"/>
      <c r="D110" s="476"/>
      <c r="E110" s="23">
        <v>-2304174.5</v>
      </c>
      <c r="F110" s="23">
        <v>561923.41</v>
      </c>
      <c r="H110" s="23">
        <v>1011291.05</v>
      </c>
      <c r="J110" s="23">
        <v>-2753542.14</v>
      </c>
      <c r="K110" s="22">
        <f t="shared" si="2"/>
        <v>-449367.64000000013</v>
      </c>
      <c r="L110" s="26">
        <f t="shared" si="3"/>
        <v>-449.36764000000011</v>
      </c>
      <c r="O110" s="22">
        <v>11454441.57</v>
      </c>
    </row>
    <row r="111" spans="1:15" ht="15.95" customHeight="1" x14ac:dyDescent="0.2">
      <c r="A111" s="157">
        <v>2190101</v>
      </c>
      <c r="B111" s="480" t="s">
        <v>1058</v>
      </c>
      <c r="C111" s="476"/>
      <c r="D111" s="476"/>
      <c r="E111" s="23">
        <v>-2304174.5</v>
      </c>
      <c r="F111" s="23">
        <v>561923.41</v>
      </c>
      <c r="H111" s="23">
        <v>1011291.05</v>
      </c>
      <c r="J111" s="23">
        <v>-2753542.14</v>
      </c>
      <c r="K111" s="22">
        <f t="shared" si="2"/>
        <v>-449367.64000000013</v>
      </c>
      <c r="L111" s="26">
        <f t="shared" si="3"/>
        <v>-449.36764000000011</v>
      </c>
      <c r="O111" s="22">
        <v>-7554100.7599999998</v>
      </c>
    </row>
    <row r="112" spans="1:15" ht="15.95" customHeight="1" x14ac:dyDescent="0.2">
      <c r="A112" s="157">
        <v>22</v>
      </c>
      <c r="B112" s="480" t="s">
        <v>1073</v>
      </c>
      <c r="C112" s="476"/>
      <c r="D112" s="476"/>
      <c r="E112" s="23">
        <v>-100635258.43000001</v>
      </c>
      <c r="F112" s="23">
        <v>1316176.72</v>
      </c>
      <c r="H112" s="23">
        <v>5721380.7400000002</v>
      </c>
      <c r="J112" s="23">
        <v>-105040462.45</v>
      </c>
      <c r="K112" s="22">
        <f t="shared" si="2"/>
        <v>-4405204.0199999958</v>
      </c>
      <c r="L112" s="26">
        <f t="shared" si="3"/>
        <v>-4405.2040199999956</v>
      </c>
      <c r="O112" s="22">
        <f>SUM(O110:O111)</f>
        <v>3900340.8100000005</v>
      </c>
    </row>
    <row r="113" spans="1:15" ht="15.95" customHeight="1" x14ac:dyDescent="0.2">
      <c r="A113" s="159">
        <v>224</v>
      </c>
      <c r="B113" s="481" t="s">
        <v>1074</v>
      </c>
      <c r="C113" s="482"/>
      <c r="D113" s="482"/>
      <c r="E113" s="24">
        <v>-2493525.11</v>
      </c>
      <c r="F113" s="24">
        <v>2284.52</v>
      </c>
      <c r="G113" s="160"/>
      <c r="H113" s="24">
        <v>49116.7</v>
      </c>
      <c r="I113" s="160"/>
      <c r="J113" s="24">
        <v>-2540357.29</v>
      </c>
      <c r="K113" s="25">
        <f t="shared" si="2"/>
        <v>-46832.180000000168</v>
      </c>
      <c r="L113" s="163">
        <f t="shared" si="3"/>
        <v>-46.832180000000164</v>
      </c>
      <c r="O113" s="22"/>
    </row>
    <row r="114" spans="1:15" ht="15.95" customHeight="1" x14ac:dyDescent="0.2">
      <c r="A114" s="157">
        <v>22401</v>
      </c>
      <c r="B114" s="480" t="s">
        <v>1075</v>
      </c>
      <c r="C114" s="476"/>
      <c r="D114" s="476"/>
      <c r="E114" s="23">
        <v>-2493525.11</v>
      </c>
      <c r="F114" s="23">
        <v>2284.52</v>
      </c>
      <c r="H114" s="23">
        <v>49116.7</v>
      </c>
      <c r="J114" s="23">
        <v>-2540357.29</v>
      </c>
      <c r="K114" s="22">
        <f t="shared" si="2"/>
        <v>-46832.180000000168</v>
      </c>
      <c r="L114" s="26">
        <f t="shared" si="3"/>
        <v>-46.832180000000164</v>
      </c>
    </row>
    <row r="115" spans="1:15" ht="15.95" customHeight="1" x14ac:dyDescent="0.2">
      <c r="A115" s="157">
        <v>2240101</v>
      </c>
      <c r="B115" s="480" t="s">
        <v>1075</v>
      </c>
      <c r="C115" s="476"/>
      <c r="D115" s="476"/>
      <c r="E115" s="23">
        <v>-2493525.11</v>
      </c>
      <c r="F115" s="23">
        <v>2284.52</v>
      </c>
      <c r="H115" s="23">
        <v>49116.7</v>
      </c>
      <c r="J115" s="23">
        <v>-2540357.29</v>
      </c>
      <c r="K115" s="22">
        <f t="shared" si="2"/>
        <v>-46832.180000000168</v>
      </c>
      <c r="L115" s="26">
        <f t="shared" si="3"/>
        <v>-46.832180000000164</v>
      </c>
    </row>
    <row r="116" spans="1:15" ht="15.95" customHeight="1" x14ac:dyDescent="0.2">
      <c r="A116" s="159">
        <v>225</v>
      </c>
      <c r="B116" s="481" t="s">
        <v>1078</v>
      </c>
      <c r="C116" s="482"/>
      <c r="D116" s="482"/>
      <c r="E116" s="24">
        <v>-54085300.020000003</v>
      </c>
      <c r="F116" s="24">
        <v>0</v>
      </c>
      <c r="G116" s="160"/>
      <c r="H116" s="24">
        <v>277483.24</v>
      </c>
      <c r="I116" s="160"/>
      <c r="J116" s="24">
        <v>-54362783.259999998</v>
      </c>
      <c r="K116" s="25">
        <f t="shared" si="2"/>
        <v>-277483.23999999464</v>
      </c>
      <c r="L116" s="163">
        <f t="shared" si="3"/>
        <v>-277.48323999999462</v>
      </c>
    </row>
    <row r="117" spans="1:15" ht="15.95" customHeight="1" x14ac:dyDescent="0.2">
      <c r="A117" s="157">
        <v>22501</v>
      </c>
      <c r="B117" s="480" t="s">
        <v>1079</v>
      </c>
      <c r="C117" s="476"/>
      <c r="D117" s="476"/>
      <c r="E117" s="23">
        <v>-54085300.020000003</v>
      </c>
      <c r="F117" s="23">
        <v>0</v>
      </c>
      <c r="H117" s="23">
        <v>277483.24</v>
      </c>
      <c r="J117" s="23">
        <v>-54362783.259999998</v>
      </c>
      <c r="K117" s="22">
        <f t="shared" si="2"/>
        <v>-277483.23999999464</v>
      </c>
      <c r="L117" s="26">
        <f t="shared" si="3"/>
        <v>-277.48323999999462</v>
      </c>
    </row>
    <row r="118" spans="1:15" ht="15.95" customHeight="1" x14ac:dyDescent="0.2">
      <c r="A118" s="157">
        <v>2250101</v>
      </c>
      <c r="B118" s="480" t="s">
        <v>1079</v>
      </c>
      <c r="C118" s="476"/>
      <c r="D118" s="476"/>
      <c r="E118" s="23">
        <v>-54085300.020000003</v>
      </c>
      <c r="F118" s="23">
        <v>0</v>
      </c>
      <c r="H118" s="23">
        <v>277483.24</v>
      </c>
      <c r="J118" s="23">
        <v>-54362783.259999998</v>
      </c>
      <c r="K118" s="22">
        <f t="shared" si="2"/>
        <v>-277483.23999999464</v>
      </c>
      <c r="L118" s="26">
        <f t="shared" si="3"/>
        <v>-277.48323999999462</v>
      </c>
    </row>
    <row r="119" spans="1:15" ht="15.95" customHeight="1" x14ac:dyDescent="0.2">
      <c r="A119" s="159">
        <v>226</v>
      </c>
      <c r="B119" s="481" t="s">
        <v>1084</v>
      </c>
      <c r="C119" s="482"/>
      <c r="D119" s="482"/>
      <c r="E119" s="24">
        <v>-44056433.299999997</v>
      </c>
      <c r="F119" s="24">
        <v>1313892.2</v>
      </c>
      <c r="G119" s="160"/>
      <c r="H119" s="24">
        <v>5394780.7999999998</v>
      </c>
      <c r="I119" s="160"/>
      <c r="J119" s="24">
        <v>-48137321.899999999</v>
      </c>
      <c r="K119" s="25">
        <f t="shared" si="2"/>
        <v>-4080888.6000000015</v>
      </c>
      <c r="L119" s="163">
        <f t="shared" si="3"/>
        <v>-4080.8886000000016</v>
      </c>
    </row>
    <row r="120" spans="1:15" ht="15.95" customHeight="1" x14ac:dyDescent="0.2">
      <c r="A120" s="157">
        <v>22601</v>
      </c>
      <c r="B120" s="480" t="s">
        <v>1085</v>
      </c>
      <c r="C120" s="476"/>
      <c r="D120" s="476"/>
      <c r="E120" s="23">
        <v>-44056433.299999997</v>
      </c>
      <c r="F120" s="23">
        <v>1313892.2</v>
      </c>
      <c r="H120" s="23">
        <v>5394780.7999999998</v>
      </c>
      <c r="J120" s="23">
        <v>-48137321.899999999</v>
      </c>
      <c r="K120" s="22">
        <f t="shared" si="2"/>
        <v>-4080888.6000000015</v>
      </c>
      <c r="L120" s="26">
        <f t="shared" si="3"/>
        <v>-4080.8886000000016</v>
      </c>
    </row>
    <row r="121" spans="1:15" ht="15.95" customHeight="1" x14ac:dyDescent="0.2">
      <c r="A121" s="157">
        <v>2260101</v>
      </c>
      <c r="B121" s="480" t="s">
        <v>1085</v>
      </c>
      <c r="C121" s="476"/>
      <c r="D121" s="476"/>
      <c r="E121" s="23">
        <v>-44056433.299999997</v>
      </c>
      <c r="F121" s="23">
        <v>1313892.2</v>
      </c>
      <c r="H121" s="23">
        <v>5394780.7999999998</v>
      </c>
      <c r="J121" s="23">
        <v>-48137321.899999999</v>
      </c>
      <c r="K121" s="22">
        <f t="shared" si="2"/>
        <v>-4080888.6000000015</v>
      </c>
      <c r="L121" s="26">
        <f t="shared" si="3"/>
        <v>-4080.8886000000016</v>
      </c>
    </row>
    <row r="122" spans="1:15" ht="15.95" customHeight="1" x14ac:dyDescent="0.2">
      <c r="A122" s="157">
        <v>23</v>
      </c>
      <c r="B122" s="480" t="s">
        <v>1091</v>
      </c>
      <c r="C122" s="476"/>
      <c r="D122" s="476"/>
      <c r="E122" s="23">
        <v>-192530188.06999999</v>
      </c>
      <c r="F122" s="23">
        <v>6471541.46</v>
      </c>
      <c r="H122" s="23">
        <v>2365932.2799999998</v>
      </c>
      <c r="J122" s="23">
        <v>-188424578.88999999</v>
      </c>
      <c r="K122" s="22">
        <f t="shared" si="2"/>
        <v>4105609.1800000072</v>
      </c>
      <c r="L122" s="26">
        <f t="shared" si="3"/>
        <v>4105.6091800000067</v>
      </c>
    </row>
    <row r="123" spans="1:15" ht="15.95" customHeight="1" x14ac:dyDescent="0.2">
      <c r="A123" s="157">
        <v>231</v>
      </c>
      <c r="B123" s="480" t="s">
        <v>1092</v>
      </c>
      <c r="C123" s="476"/>
      <c r="D123" s="476"/>
      <c r="E123" s="23">
        <v>-273318713.10000002</v>
      </c>
      <c r="F123" s="23">
        <v>0</v>
      </c>
      <c r="H123" s="23">
        <v>0</v>
      </c>
      <c r="J123" s="23">
        <v>-273318713.10000002</v>
      </c>
      <c r="K123" s="22">
        <f t="shared" si="2"/>
        <v>0</v>
      </c>
      <c r="L123" s="26">
        <f t="shared" si="3"/>
        <v>0</v>
      </c>
    </row>
    <row r="124" spans="1:15" ht="15.95" customHeight="1" x14ac:dyDescent="0.2">
      <c r="A124" s="157">
        <v>23101</v>
      </c>
      <c r="B124" s="480" t="s">
        <v>1092</v>
      </c>
      <c r="C124" s="476"/>
      <c r="D124" s="476"/>
      <c r="E124" s="23">
        <v>-273318713.10000002</v>
      </c>
      <c r="F124" s="23">
        <v>0</v>
      </c>
      <c r="H124" s="23">
        <v>0</v>
      </c>
      <c r="J124" s="23">
        <v>-273318713.10000002</v>
      </c>
      <c r="K124" s="22">
        <f t="shared" si="2"/>
        <v>0</v>
      </c>
      <c r="L124" s="26">
        <f t="shared" si="3"/>
        <v>0</v>
      </c>
    </row>
    <row r="125" spans="1:15" ht="15.95" customHeight="1" x14ac:dyDescent="0.2">
      <c r="A125" s="157">
        <v>2310101</v>
      </c>
      <c r="B125" s="480" t="s">
        <v>1092</v>
      </c>
      <c r="C125" s="476"/>
      <c r="D125" s="476"/>
      <c r="E125" s="23">
        <v>-273318713.10000002</v>
      </c>
      <c r="F125" s="23">
        <v>0</v>
      </c>
      <c r="H125" s="23">
        <v>0</v>
      </c>
      <c r="J125" s="23">
        <v>-273318713.10000002</v>
      </c>
      <c r="K125" s="22">
        <f t="shared" si="2"/>
        <v>0</v>
      </c>
      <c r="L125" s="26">
        <f t="shared" si="3"/>
        <v>0</v>
      </c>
    </row>
    <row r="126" spans="1:15" ht="15.95" customHeight="1" x14ac:dyDescent="0.2">
      <c r="A126" s="157">
        <v>234</v>
      </c>
      <c r="B126" s="480" t="s">
        <v>1095</v>
      </c>
      <c r="C126" s="476"/>
      <c r="D126" s="476"/>
      <c r="E126" s="23">
        <v>7657757</v>
      </c>
      <c r="F126" s="23">
        <v>3495840</v>
      </c>
      <c r="H126" s="23">
        <v>0</v>
      </c>
      <c r="J126" s="23">
        <v>11153597</v>
      </c>
      <c r="K126" s="22">
        <f t="shared" si="2"/>
        <v>3495840</v>
      </c>
      <c r="L126" s="26">
        <f t="shared" si="3"/>
        <v>3495.84</v>
      </c>
    </row>
    <row r="127" spans="1:15" ht="15.95" customHeight="1" x14ac:dyDescent="0.2">
      <c r="A127" s="157">
        <v>23401</v>
      </c>
      <c r="B127" s="480" t="s">
        <v>1096</v>
      </c>
      <c r="C127" s="476"/>
      <c r="D127" s="476"/>
      <c r="E127" s="23">
        <v>7657757</v>
      </c>
      <c r="F127" s="23">
        <v>3495840</v>
      </c>
      <c r="H127" s="23">
        <v>0</v>
      </c>
      <c r="J127" s="23">
        <v>11153597</v>
      </c>
      <c r="K127" s="22">
        <f t="shared" si="2"/>
        <v>3495840</v>
      </c>
      <c r="L127" s="26">
        <f t="shared" si="3"/>
        <v>3495.84</v>
      </c>
    </row>
    <row r="128" spans="1:15" ht="15.95" customHeight="1" x14ac:dyDescent="0.2">
      <c r="A128" s="157">
        <v>2340101</v>
      </c>
      <c r="B128" s="480" t="s">
        <v>1096</v>
      </c>
      <c r="C128" s="476"/>
      <c r="D128" s="476"/>
      <c r="E128" s="23">
        <v>7657757</v>
      </c>
      <c r="F128" s="23">
        <v>3495840</v>
      </c>
      <c r="H128" s="23">
        <v>0</v>
      </c>
      <c r="J128" s="23">
        <v>11153597</v>
      </c>
      <c r="K128" s="22">
        <f t="shared" si="2"/>
        <v>3495840</v>
      </c>
      <c r="L128" s="26">
        <f t="shared" si="3"/>
        <v>3495.84</v>
      </c>
    </row>
    <row r="129" spans="1:12" ht="15.95" customHeight="1" x14ac:dyDescent="0.2">
      <c r="A129" s="157">
        <v>237</v>
      </c>
      <c r="B129" s="480" t="s">
        <v>1099</v>
      </c>
      <c r="C129" s="476"/>
      <c r="D129" s="476"/>
      <c r="E129" s="23">
        <v>-1486852.15</v>
      </c>
      <c r="F129" s="23">
        <v>0</v>
      </c>
      <c r="H129" s="23">
        <v>7628.28</v>
      </c>
      <c r="J129" s="23">
        <v>-1494480.43</v>
      </c>
      <c r="K129" s="22">
        <f t="shared" si="2"/>
        <v>-7628.2800000000279</v>
      </c>
      <c r="L129" s="26">
        <f t="shared" si="3"/>
        <v>-7.6282800000000277</v>
      </c>
    </row>
    <row r="130" spans="1:12" ht="15.95" customHeight="1" x14ac:dyDescent="0.2">
      <c r="A130" s="157">
        <v>23701</v>
      </c>
      <c r="B130" s="480" t="s">
        <v>1100</v>
      </c>
      <c r="C130" s="476"/>
      <c r="D130" s="476"/>
      <c r="E130" s="23">
        <v>-1486852.15</v>
      </c>
      <c r="F130" s="23">
        <v>0</v>
      </c>
      <c r="H130" s="23">
        <v>7628.28</v>
      </c>
      <c r="J130" s="23">
        <v>-1494480.43</v>
      </c>
      <c r="K130" s="22">
        <f t="shared" si="2"/>
        <v>-7628.2800000000279</v>
      </c>
      <c r="L130" s="26">
        <f t="shared" si="3"/>
        <v>-7.6282800000000277</v>
      </c>
    </row>
    <row r="131" spans="1:12" ht="15.95" customHeight="1" x14ac:dyDescent="0.2">
      <c r="A131" s="159">
        <v>2370101</v>
      </c>
      <c r="B131" s="481" t="s">
        <v>1100</v>
      </c>
      <c r="C131" s="482"/>
      <c r="D131" s="482"/>
      <c r="E131" s="24">
        <v>-1486852.15</v>
      </c>
      <c r="F131" s="24">
        <v>0</v>
      </c>
      <c r="G131" s="160"/>
      <c r="H131" s="24">
        <v>7628.28</v>
      </c>
      <c r="I131" s="160"/>
      <c r="J131" s="24">
        <v>-1494480.43</v>
      </c>
      <c r="K131" s="25">
        <f t="shared" ref="K131:K194" si="4">J131-E131</f>
        <v>-7628.2800000000279</v>
      </c>
      <c r="L131" s="163">
        <f t="shared" ref="L131:L194" si="5">K131/1000</f>
        <v>-7.6282800000000277</v>
      </c>
    </row>
    <row r="132" spans="1:12" ht="15.95" customHeight="1" x14ac:dyDescent="0.2">
      <c r="A132" s="157">
        <v>238</v>
      </c>
      <c r="B132" s="480" t="s">
        <v>1103</v>
      </c>
      <c r="C132" s="476"/>
      <c r="D132" s="476"/>
      <c r="E132" s="23">
        <v>-8546606.6600000001</v>
      </c>
      <c r="F132" s="23">
        <v>0</v>
      </c>
      <c r="H132" s="23">
        <v>0</v>
      </c>
      <c r="J132" s="23">
        <v>-8546606.6600000001</v>
      </c>
      <c r="K132" s="22">
        <f t="shared" si="4"/>
        <v>0</v>
      </c>
      <c r="L132" s="26">
        <f t="shared" si="5"/>
        <v>0</v>
      </c>
    </row>
    <row r="133" spans="1:12" ht="15.95" customHeight="1" x14ac:dyDescent="0.2">
      <c r="A133" s="157">
        <v>23801</v>
      </c>
      <c r="B133" s="480" t="s">
        <v>1103</v>
      </c>
      <c r="C133" s="476"/>
      <c r="D133" s="476"/>
      <c r="E133" s="23">
        <v>-8546606.6600000001</v>
      </c>
      <c r="F133" s="23">
        <v>0</v>
      </c>
      <c r="H133" s="23">
        <v>0</v>
      </c>
      <c r="J133" s="23">
        <v>-8546606.6600000001</v>
      </c>
      <c r="K133" s="22">
        <f t="shared" si="4"/>
        <v>0</v>
      </c>
      <c r="L133" s="26">
        <f t="shared" si="5"/>
        <v>0</v>
      </c>
    </row>
    <row r="134" spans="1:12" ht="15.95" customHeight="1" x14ac:dyDescent="0.2">
      <c r="A134" s="157">
        <v>2380101</v>
      </c>
      <c r="B134" s="480" t="s">
        <v>1103</v>
      </c>
      <c r="C134" s="476"/>
      <c r="D134" s="476"/>
      <c r="E134" s="23">
        <v>-8546606.6600000001</v>
      </c>
      <c r="F134" s="23">
        <v>0</v>
      </c>
      <c r="H134" s="23">
        <v>0</v>
      </c>
      <c r="J134" s="23">
        <v>-8546606.6600000001</v>
      </c>
      <c r="K134" s="22">
        <f t="shared" si="4"/>
        <v>0</v>
      </c>
      <c r="L134" s="26">
        <f t="shared" si="5"/>
        <v>0</v>
      </c>
    </row>
    <row r="135" spans="1:12" ht="15.95" customHeight="1" x14ac:dyDescent="0.2">
      <c r="A135" s="157">
        <v>239</v>
      </c>
      <c r="B135" s="480" t="s">
        <v>1105</v>
      </c>
      <c r="C135" s="476"/>
      <c r="D135" s="476"/>
      <c r="E135" s="23">
        <v>83164226.840000004</v>
      </c>
      <c r="F135" s="23">
        <v>2975701.46</v>
      </c>
      <c r="H135" s="23">
        <v>2358304</v>
      </c>
      <c r="J135" s="23">
        <v>83781624.299999997</v>
      </c>
      <c r="K135" s="22">
        <f t="shared" si="4"/>
        <v>617397.45999999344</v>
      </c>
      <c r="L135" s="26">
        <f t="shared" si="5"/>
        <v>617.39745999999343</v>
      </c>
    </row>
    <row r="136" spans="1:12" ht="15.95" customHeight="1" x14ac:dyDescent="0.2">
      <c r="A136" s="157">
        <v>23901</v>
      </c>
      <c r="B136" s="480" t="s">
        <v>1105</v>
      </c>
      <c r="C136" s="476"/>
      <c r="D136" s="476"/>
      <c r="E136" s="23">
        <v>83164226.840000004</v>
      </c>
      <c r="F136" s="23">
        <v>2975701.46</v>
      </c>
      <c r="H136" s="23">
        <v>2358304</v>
      </c>
      <c r="J136" s="23">
        <v>83781624.299999997</v>
      </c>
      <c r="K136" s="22">
        <f t="shared" si="4"/>
        <v>617397.45999999344</v>
      </c>
      <c r="L136" s="26">
        <f t="shared" si="5"/>
        <v>617.39745999999343</v>
      </c>
    </row>
    <row r="137" spans="1:12" ht="15.95" customHeight="1" x14ac:dyDescent="0.2">
      <c r="A137" s="157">
        <v>2390101</v>
      </c>
      <c r="B137" s="480" t="s">
        <v>1106</v>
      </c>
      <c r="C137" s="476"/>
      <c r="D137" s="476"/>
      <c r="E137" s="23">
        <v>5991513.4699999997</v>
      </c>
      <c r="F137" s="23">
        <v>2975701.46</v>
      </c>
      <c r="H137" s="23">
        <v>1179152</v>
      </c>
      <c r="J137" s="23">
        <v>7788062.9299999997</v>
      </c>
      <c r="K137" s="22">
        <f t="shared" si="4"/>
        <v>1796549.46</v>
      </c>
      <c r="L137" s="26">
        <f t="shared" si="5"/>
        <v>1796.54946</v>
      </c>
    </row>
    <row r="138" spans="1:12" ht="15.95" customHeight="1" x14ac:dyDescent="0.2">
      <c r="A138" s="157">
        <v>2390102</v>
      </c>
      <c r="B138" s="480" t="s">
        <v>1111</v>
      </c>
      <c r="C138" s="476"/>
      <c r="D138" s="476"/>
      <c r="E138" s="23">
        <v>77172713.370000005</v>
      </c>
      <c r="F138" s="23">
        <v>0</v>
      </c>
      <c r="H138" s="23">
        <v>1179152</v>
      </c>
      <c r="J138" s="23">
        <v>75993561.370000005</v>
      </c>
      <c r="K138" s="22">
        <f t="shared" si="4"/>
        <v>-1179152</v>
      </c>
      <c r="L138" s="26">
        <f t="shared" si="5"/>
        <v>-1179.152</v>
      </c>
    </row>
    <row r="139" spans="1:12" ht="15.95" customHeight="1" x14ac:dyDescent="0.2">
      <c r="A139" s="157">
        <v>24</v>
      </c>
      <c r="B139" s="480" t="s">
        <v>1119</v>
      </c>
      <c r="C139" s="476"/>
      <c r="D139" s="476"/>
      <c r="E139" s="23">
        <v>-1236717.49</v>
      </c>
      <c r="F139" s="23">
        <v>0</v>
      </c>
      <c r="H139" s="23">
        <v>0</v>
      </c>
      <c r="J139" s="23">
        <v>-1236717.49</v>
      </c>
      <c r="K139" s="22">
        <f t="shared" si="4"/>
        <v>0</v>
      </c>
      <c r="L139" s="26">
        <f t="shared" si="5"/>
        <v>0</v>
      </c>
    </row>
    <row r="140" spans="1:12" ht="15.95" customHeight="1" x14ac:dyDescent="0.2">
      <c r="A140" s="157">
        <v>241</v>
      </c>
      <c r="B140" s="480" t="s">
        <v>456</v>
      </c>
      <c r="C140" s="476"/>
      <c r="D140" s="476"/>
      <c r="E140" s="23">
        <v>-1236717.49</v>
      </c>
      <c r="F140" s="23">
        <v>0</v>
      </c>
      <c r="H140" s="23">
        <v>0</v>
      </c>
      <c r="J140" s="23">
        <v>-1236717.49</v>
      </c>
      <c r="K140" s="22">
        <f t="shared" si="4"/>
        <v>0</v>
      </c>
      <c r="L140" s="26">
        <f t="shared" si="5"/>
        <v>0</v>
      </c>
    </row>
    <row r="141" spans="1:12" ht="15.95" customHeight="1" x14ac:dyDescent="0.2">
      <c r="A141" s="157">
        <v>24101</v>
      </c>
      <c r="B141" s="480" t="s">
        <v>1120</v>
      </c>
      <c r="C141" s="476"/>
      <c r="D141" s="476"/>
      <c r="E141" s="23">
        <v>-1236717.49</v>
      </c>
      <c r="F141" s="23">
        <v>0</v>
      </c>
      <c r="H141" s="23">
        <v>0</v>
      </c>
      <c r="J141" s="23">
        <v>-1236717.49</v>
      </c>
      <c r="K141" s="22">
        <f t="shared" si="4"/>
        <v>0</v>
      </c>
      <c r="L141" s="26">
        <f t="shared" si="5"/>
        <v>0</v>
      </c>
    </row>
    <row r="142" spans="1:12" ht="15.95" customHeight="1" x14ac:dyDescent="0.2">
      <c r="A142" s="157">
        <v>2410101</v>
      </c>
      <c r="B142" s="480" t="s">
        <v>457</v>
      </c>
      <c r="C142" s="476"/>
      <c r="D142" s="476"/>
      <c r="E142" s="23">
        <v>-1236717.49</v>
      </c>
      <c r="F142" s="23">
        <v>0</v>
      </c>
      <c r="H142" s="23">
        <v>0</v>
      </c>
      <c r="J142" s="23">
        <v>-1236717.49</v>
      </c>
      <c r="K142" s="22">
        <f t="shared" si="4"/>
        <v>0</v>
      </c>
      <c r="L142" s="26">
        <f t="shared" si="5"/>
        <v>0</v>
      </c>
    </row>
    <row r="143" spans="1:12" ht="15.95" customHeight="1" x14ac:dyDescent="0.2">
      <c r="A143" s="157">
        <v>3</v>
      </c>
      <c r="B143" s="480" t="s">
        <v>1122</v>
      </c>
      <c r="C143" s="476"/>
      <c r="D143" s="476"/>
      <c r="E143" s="23">
        <v>-28753931.609999999</v>
      </c>
      <c r="F143" s="23">
        <v>2274399.2599999998</v>
      </c>
      <c r="H143" s="23">
        <v>17395256.550000001</v>
      </c>
      <c r="J143" s="23">
        <v>-43874788.899999999</v>
      </c>
      <c r="K143" s="22">
        <f t="shared" si="4"/>
        <v>-15120857.289999999</v>
      </c>
      <c r="L143" s="26">
        <f t="shared" si="5"/>
        <v>-15120.85729</v>
      </c>
    </row>
    <row r="144" spans="1:12" ht="15.95" customHeight="1" x14ac:dyDescent="0.2">
      <c r="A144" s="157">
        <v>31</v>
      </c>
      <c r="B144" s="480" t="s">
        <v>1123</v>
      </c>
      <c r="C144" s="476"/>
      <c r="D144" s="476"/>
      <c r="E144" s="23">
        <v>-33026264.940000001</v>
      </c>
      <c r="F144" s="23">
        <v>0</v>
      </c>
      <c r="H144" s="23">
        <v>17391556.550000001</v>
      </c>
      <c r="J144" s="23">
        <v>-50417821.490000002</v>
      </c>
      <c r="K144" s="22">
        <f t="shared" si="4"/>
        <v>-17391556.550000001</v>
      </c>
      <c r="L144" s="26">
        <f t="shared" si="5"/>
        <v>-17391.556550000001</v>
      </c>
    </row>
    <row r="145" spans="1:12" ht="15.95" customHeight="1" x14ac:dyDescent="0.2">
      <c r="A145" s="157">
        <v>311</v>
      </c>
      <c r="B145" s="480" t="s">
        <v>1124</v>
      </c>
      <c r="C145" s="476"/>
      <c r="D145" s="476"/>
      <c r="E145" s="23">
        <v>-33026264.940000001</v>
      </c>
      <c r="F145" s="23">
        <v>0</v>
      </c>
      <c r="H145" s="23">
        <v>17391556.550000001</v>
      </c>
      <c r="J145" s="23">
        <v>-50417821.490000002</v>
      </c>
      <c r="K145" s="22">
        <f t="shared" si="4"/>
        <v>-17391556.550000001</v>
      </c>
      <c r="L145" s="26">
        <f t="shared" si="5"/>
        <v>-17391.556550000001</v>
      </c>
    </row>
    <row r="146" spans="1:12" ht="15.95" customHeight="1" x14ac:dyDescent="0.2">
      <c r="A146" s="157">
        <v>31101</v>
      </c>
      <c r="B146" s="480" t="s">
        <v>1125</v>
      </c>
      <c r="C146" s="476"/>
      <c r="D146" s="476"/>
      <c r="E146" s="23">
        <v>-29746173.780000001</v>
      </c>
      <c r="F146" s="23">
        <v>0</v>
      </c>
      <c r="H146" s="23">
        <v>15428344.619999999</v>
      </c>
      <c r="J146" s="23">
        <v>-45174518.399999999</v>
      </c>
      <c r="K146" s="22">
        <f t="shared" si="4"/>
        <v>-15428344.619999997</v>
      </c>
      <c r="L146" s="26">
        <f t="shared" si="5"/>
        <v>-15428.344619999998</v>
      </c>
    </row>
    <row r="147" spans="1:12" ht="15.95" customHeight="1" x14ac:dyDescent="0.2">
      <c r="A147" s="157">
        <v>3110101</v>
      </c>
      <c r="B147" s="480" t="s">
        <v>1126</v>
      </c>
      <c r="C147" s="476"/>
      <c r="D147" s="476"/>
      <c r="E147" s="23">
        <v>-29746173.780000001</v>
      </c>
      <c r="F147" s="23">
        <v>0</v>
      </c>
      <c r="H147" s="23">
        <v>15428344.619999999</v>
      </c>
      <c r="J147" s="23">
        <v>-45174518.399999999</v>
      </c>
      <c r="K147" s="22">
        <f t="shared" si="4"/>
        <v>-15428344.619999997</v>
      </c>
      <c r="L147" s="26">
        <f t="shared" si="5"/>
        <v>-15428.344619999998</v>
      </c>
    </row>
    <row r="148" spans="1:12" ht="15.95" customHeight="1" x14ac:dyDescent="0.2">
      <c r="A148" s="157">
        <v>31103</v>
      </c>
      <c r="B148" s="480" t="s">
        <v>1137</v>
      </c>
      <c r="C148" s="476"/>
      <c r="D148" s="476"/>
      <c r="E148" s="23">
        <v>-3280091.16</v>
      </c>
      <c r="F148" s="23">
        <v>0</v>
      </c>
      <c r="H148" s="23">
        <v>1963211.93</v>
      </c>
      <c r="J148" s="23">
        <v>-5243303.09</v>
      </c>
      <c r="K148" s="22">
        <f t="shared" si="4"/>
        <v>-1963211.9299999997</v>
      </c>
      <c r="L148" s="26">
        <f t="shared" si="5"/>
        <v>-1963.2119299999997</v>
      </c>
    </row>
    <row r="149" spans="1:12" ht="15.95" customHeight="1" x14ac:dyDescent="0.2">
      <c r="A149" s="157">
        <v>3110301</v>
      </c>
      <c r="B149" s="480" t="s">
        <v>1138</v>
      </c>
      <c r="C149" s="476"/>
      <c r="D149" s="476"/>
      <c r="E149" s="23">
        <v>-3280091.16</v>
      </c>
      <c r="F149" s="23">
        <v>0</v>
      </c>
      <c r="H149" s="23">
        <v>1963211.93</v>
      </c>
      <c r="J149" s="23">
        <v>-5243303.09</v>
      </c>
      <c r="K149" s="22">
        <f t="shared" si="4"/>
        <v>-1963211.9299999997</v>
      </c>
      <c r="L149" s="26">
        <f t="shared" si="5"/>
        <v>-1963.2119299999997</v>
      </c>
    </row>
    <row r="150" spans="1:12" ht="15.95" customHeight="1" x14ac:dyDescent="0.2">
      <c r="A150" s="157">
        <v>32</v>
      </c>
      <c r="B150" s="480" t="s">
        <v>1141</v>
      </c>
      <c r="C150" s="476"/>
      <c r="D150" s="476"/>
      <c r="E150" s="23">
        <v>4272333.33</v>
      </c>
      <c r="F150" s="23">
        <v>2274399.2599999998</v>
      </c>
      <c r="H150" s="23">
        <v>3700</v>
      </c>
      <c r="J150" s="23">
        <v>6543032.5899999999</v>
      </c>
      <c r="K150" s="22">
        <f t="shared" si="4"/>
        <v>2270699.2599999998</v>
      </c>
      <c r="L150" s="26">
        <f t="shared" si="5"/>
        <v>2270.6992599999999</v>
      </c>
    </row>
    <row r="151" spans="1:12" ht="15.95" customHeight="1" x14ac:dyDescent="0.2">
      <c r="A151" s="157">
        <v>321</v>
      </c>
      <c r="B151" s="480" t="s">
        <v>1124</v>
      </c>
      <c r="C151" s="476"/>
      <c r="D151" s="476"/>
      <c r="E151" s="23">
        <v>4272333.33</v>
      </c>
      <c r="F151" s="23">
        <v>2274399.2599999998</v>
      </c>
      <c r="H151" s="23">
        <v>3700</v>
      </c>
      <c r="J151" s="23">
        <v>6543032.5899999999</v>
      </c>
      <c r="K151" s="22">
        <f t="shared" si="4"/>
        <v>2270699.2599999998</v>
      </c>
      <c r="L151" s="26">
        <f t="shared" si="5"/>
        <v>2270.6992599999999</v>
      </c>
    </row>
    <row r="152" spans="1:12" ht="15.95" customHeight="1" x14ac:dyDescent="0.2">
      <c r="A152" s="157">
        <v>32101</v>
      </c>
      <c r="B152" s="480" t="s">
        <v>1142</v>
      </c>
      <c r="C152" s="476"/>
      <c r="D152" s="476"/>
      <c r="E152" s="23">
        <v>4272333.33</v>
      </c>
      <c r="F152" s="23">
        <v>2274399.2599999998</v>
      </c>
      <c r="H152" s="23">
        <v>3700</v>
      </c>
      <c r="J152" s="23">
        <v>6543032.5899999999</v>
      </c>
      <c r="K152" s="22">
        <f t="shared" si="4"/>
        <v>2270699.2599999998</v>
      </c>
      <c r="L152" s="26">
        <f t="shared" si="5"/>
        <v>2270.6992599999999</v>
      </c>
    </row>
    <row r="153" spans="1:12" ht="15.95" customHeight="1" x14ac:dyDescent="0.2">
      <c r="A153" s="157">
        <v>3210101</v>
      </c>
      <c r="B153" s="480" t="s">
        <v>1143</v>
      </c>
      <c r="C153" s="476"/>
      <c r="D153" s="476"/>
      <c r="E153" s="23">
        <v>3291651.45</v>
      </c>
      <c r="F153" s="23">
        <v>1809462.66</v>
      </c>
      <c r="H153" s="23">
        <v>3700</v>
      </c>
      <c r="J153" s="23">
        <v>5097414.1100000003</v>
      </c>
      <c r="K153" s="22">
        <f t="shared" si="4"/>
        <v>1805762.6600000001</v>
      </c>
      <c r="L153" s="26">
        <f t="shared" si="5"/>
        <v>1805.7626600000001</v>
      </c>
    </row>
    <row r="154" spans="1:12" ht="15.95" customHeight="1" x14ac:dyDescent="0.2">
      <c r="A154" s="157">
        <v>3210102</v>
      </c>
      <c r="B154" s="480" t="s">
        <v>1150</v>
      </c>
      <c r="C154" s="476"/>
      <c r="D154" s="476"/>
      <c r="E154" s="23">
        <v>980681.88</v>
      </c>
      <c r="F154" s="23">
        <v>464936.6</v>
      </c>
      <c r="H154" s="23">
        <v>0</v>
      </c>
      <c r="J154" s="23">
        <v>1445618.48</v>
      </c>
      <c r="K154" s="22">
        <f t="shared" si="4"/>
        <v>464936.6</v>
      </c>
      <c r="L154" s="26">
        <f t="shared" si="5"/>
        <v>464.9366</v>
      </c>
    </row>
    <row r="155" spans="1:12" ht="15.95" customHeight="1" x14ac:dyDescent="0.2">
      <c r="A155" s="157">
        <v>4</v>
      </c>
      <c r="B155" s="480" t="s">
        <v>1160</v>
      </c>
      <c r="C155" s="476"/>
      <c r="D155" s="476"/>
      <c r="E155" s="23">
        <v>19901457.32</v>
      </c>
      <c r="F155" s="23">
        <v>10573026.93</v>
      </c>
      <c r="H155" s="23">
        <v>767775.83</v>
      </c>
      <c r="J155" s="23">
        <v>29706708.420000002</v>
      </c>
      <c r="K155" s="22">
        <f t="shared" si="4"/>
        <v>9805251.1000000015</v>
      </c>
      <c r="L155" s="26">
        <f t="shared" si="5"/>
        <v>9805.2511000000013</v>
      </c>
    </row>
    <row r="156" spans="1:12" ht="15.95" customHeight="1" x14ac:dyDescent="0.2">
      <c r="A156" s="157">
        <v>41</v>
      </c>
      <c r="B156" s="480" t="s">
        <v>1161</v>
      </c>
      <c r="C156" s="476"/>
      <c r="D156" s="476"/>
      <c r="E156" s="23">
        <v>19901457.32</v>
      </c>
      <c r="F156" s="23">
        <v>10573026.93</v>
      </c>
      <c r="H156" s="23">
        <v>767775.83</v>
      </c>
      <c r="J156" s="23">
        <v>29706708.420000002</v>
      </c>
      <c r="K156" s="22">
        <f t="shared" si="4"/>
        <v>9805251.1000000015</v>
      </c>
      <c r="L156" s="26">
        <f t="shared" si="5"/>
        <v>9805.2511000000013</v>
      </c>
    </row>
    <row r="157" spans="1:12" ht="15.95" customHeight="1" x14ac:dyDescent="0.2">
      <c r="A157" s="157">
        <v>411</v>
      </c>
      <c r="B157" s="480" t="s">
        <v>1161</v>
      </c>
      <c r="C157" s="476"/>
      <c r="D157" s="476"/>
      <c r="E157" s="23">
        <v>19901457.32</v>
      </c>
      <c r="F157" s="23">
        <v>10573026.93</v>
      </c>
      <c r="H157" s="23">
        <v>767775.83</v>
      </c>
      <c r="J157" s="23">
        <v>29706708.420000002</v>
      </c>
      <c r="K157" s="22">
        <f t="shared" si="4"/>
        <v>9805251.1000000015</v>
      </c>
      <c r="L157" s="26">
        <f t="shared" si="5"/>
        <v>9805.2511000000013</v>
      </c>
    </row>
    <row r="158" spans="1:12" ht="15.95" customHeight="1" x14ac:dyDescent="0.2">
      <c r="A158" s="157">
        <v>41101</v>
      </c>
      <c r="B158" s="480" t="s">
        <v>1161</v>
      </c>
      <c r="C158" s="476"/>
      <c r="D158" s="476"/>
      <c r="E158" s="23">
        <v>19901457.32</v>
      </c>
      <c r="F158" s="23">
        <v>10573026.93</v>
      </c>
      <c r="H158" s="23">
        <v>767775.83</v>
      </c>
      <c r="J158" s="23">
        <v>29706708.420000002</v>
      </c>
      <c r="K158" s="22">
        <f t="shared" si="4"/>
        <v>9805251.1000000015</v>
      </c>
      <c r="L158" s="26">
        <f t="shared" si="5"/>
        <v>9805.2511000000013</v>
      </c>
    </row>
    <row r="159" spans="1:12" ht="15.95" customHeight="1" x14ac:dyDescent="0.2">
      <c r="A159" s="157">
        <v>4110101</v>
      </c>
      <c r="B159" s="480" t="s">
        <v>1162</v>
      </c>
      <c r="C159" s="476"/>
      <c r="D159" s="476"/>
      <c r="E159" s="23">
        <v>5274685.83</v>
      </c>
      <c r="F159" s="23">
        <v>3256399.94</v>
      </c>
      <c r="H159" s="23">
        <v>212229.42</v>
      </c>
      <c r="J159" s="23">
        <v>8318856.3499999996</v>
      </c>
      <c r="K159" s="22">
        <f t="shared" si="4"/>
        <v>3044170.5199999996</v>
      </c>
      <c r="L159" s="26">
        <f t="shared" si="5"/>
        <v>3044.1705199999997</v>
      </c>
    </row>
    <row r="160" spans="1:12" ht="15.95" customHeight="1" x14ac:dyDescent="0.2">
      <c r="A160" s="157">
        <v>4110103</v>
      </c>
      <c r="B160" s="480" t="s">
        <v>1201</v>
      </c>
      <c r="C160" s="476"/>
      <c r="D160" s="476"/>
      <c r="E160" s="23">
        <v>5486164.9500000002</v>
      </c>
      <c r="F160" s="23">
        <v>2755652.33</v>
      </c>
      <c r="H160" s="23">
        <v>397905.59</v>
      </c>
      <c r="J160" s="23">
        <v>7843911.6900000004</v>
      </c>
      <c r="K160" s="22">
        <f t="shared" si="4"/>
        <v>2357746.7400000002</v>
      </c>
      <c r="L160" s="26">
        <f t="shared" si="5"/>
        <v>2357.74674</v>
      </c>
    </row>
    <row r="161" spans="1:12" ht="15.95" customHeight="1" x14ac:dyDescent="0.2">
      <c r="A161" s="157">
        <v>4110104</v>
      </c>
      <c r="B161" s="480" t="s">
        <v>1222</v>
      </c>
      <c r="C161" s="476"/>
      <c r="D161" s="476"/>
      <c r="E161" s="23">
        <v>3181.6</v>
      </c>
      <c r="F161" s="23">
        <v>899.27</v>
      </c>
      <c r="H161" s="23">
        <v>0</v>
      </c>
      <c r="J161" s="23">
        <v>4080.87</v>
      </c>
      <c r="K161" s="22">
        <f t="shared" si="4"/>
        <v>899.27</v>
      </c>
      <c r="L161" s="26">
        <f t="shared" si="5"/>
        <v>0.89927000000000001</v>
      </c>
    </row>
    <row r="162" spans="1:12" ht="15.95" customHeight="1" x14ac:dyDescent="0.2">
      <c r="A162" s="157">
        <v>4110105</v>
      </c>
      <c r="B162" s="480" t="s">
        <v>1237</v>
      </c>
      <c r="C162" s="476"/>
      <c r="D162" s="476"/>
      <c r="E162" s="23">
        <v>9137424.9399999995</v>
      </c>
      <c r="F162" s="23">
        <v>4560075.3899999997</v>
      </c>
      <c r="H162" s="23">
        <v>157640.82</v>
      </c>
      <c r="J162" s="23">
        <v>13539859.51</v>
      </c>
      <c r="K162" s="22">
        <f t="shared" si="4"/>
        <v>4402434.57</v>
      </c>
      <c r="L162" s="26">
        <f t="shared" si="5"/>
        <v>4402.4345700000003</v>
      </c>
    </row>
    <row r="163" spans="1:12" ht="27.95" customHeight="1" x14ac:dyDescent="0.2">
      <c r="A163" s="157">
        <v>5</v>
      </c>
      <c r="B163" s="480" t="s">
        <v>1250</v>
      </c>
      <c r="C163" s="476"/>
      <c r="D163" s="476"/>
      <c r="E163" s="23">
        <v>13502430.41</v>
      </c>
      <c r="F163" s="23">
        <v>8422551.3800000008</v>
      </c>
      <c r="H163" s="23">
        <v>942647.94</v>
      </c>
      <c r="J163" s="23">
        <v>20982333.850000001</v>
      </c>
      <c r="K163" s="22">
        <f t="shared" si="4"/>
        <v>7479903.4400000013</v>
      </c>
      <c r="L163" s="26">
        <f t="shared" si="5"/>
        <v>7479.903440000001</v>
      </c>
    </row>
    <row r="164" spans="1:12" ht="15.95" customHeight="1" x14ac:dyDescent="0.2">
      <c r="A164" s="157">
        <v>51</v>
      </c>
      <c r="B164" s="480" t="s">
        <v>1250</v>
      </c>
      <c r="C164" s="476"/>
      <c r="D164" s="476"/>
      <c r="E164" s="23">
        <v>12732814.630000001</v>
      </c>
      <c r="F164" s="23">
        <v>7309149.9699999997</v>
      </c>
      <c r="H164" s="23">
        <v>310112.03000000003</v>
      </c>
      <c r="J164" s="23">
        <v>19731852.57</v>
      </c>
      <c r="K164" s="22">
        <f t="shared" si="4"/>
        <v>6999037.9399999995</v>
      </c>
      <c r="L164" s="26">
        <f t="shared" si="5"/>
        <v>6999.0379399999993</v>
      </c>
    </row>
    <row r="165" spans="1:12" ht="15.95" customHeight="1" x14ac:dyDescent="0.2">
      <c r="A165" s="157">
        <v>511</v>
      </c>
      <c r="B165" s="480" t="s">
        <v>1251</v>
      </c>
      <c r="C165" s="476"/>
      <c r="D165" s="476"/>
      <c r="E165" s="23">
        <v>12732814.630000001</v>
      </c>
      <c r="F165" s="23">
        <v>7309149.9699999997</v>
      </c>
      <c r="H165" s="23">
        <v>310112.03000000003</v>
      </c>
      <c r="J165" s="23">
        <v>19731852.57</v>
      </c>
      <c r="K165" s="22">
        <f t="shared" si="4"/>
        <v>6999037.9399999995</v>
      </c>
      <c r="L165" s="26">
        <f t="shared" si="5"/>
        <v>6999.0379399999993</v>
      </c>
    </row>
    <row r="166" spans="1:12" ht="15.95" customHeight="1" x14ac:dyDescent="0.2">
      <c r="A166" s="157">
        <v>51101</v>
      </c>
      <c r="B166" s="480" t="s">
        <v>1251</v>
      </c>
      <c r="C166" s="476"/>
      <c r="D166" s="476"/>
      <c r="E166" s="23">
        <v>12732814.630000001</v>
      </c>
      <c r="F166" s="23">
        <v>7309149.9699999997</v>
      </c>
      <c r="H166" s="23">
        <v>310112.03000000003</v>
      </c>
      <c r="J166" s="23">
        <v>19731852.57</v>
      </c>
      <c r="K166" s="22">
        <f t="shared" si="4"/>
        <v>6999037.9399999995</v>
      </c>
      <c r="L166" s="26">
        <f t="shared" si="5"/>
        <v>6999.0379399999993</v>
      </c>
    </row>
    <row r="167" spans="1:12" ht="15.95" customHeight="1" x14ac:dyDescent="0.2">
      <c r="A167" s="157">
        <v>5110101</v>
      </c>
      <c r="B167" s="480" t="s">
        <v>1252</v>
      </c>
      <c r="C167" s="476"/>
      <c r="D167" s="476"/>
      <c r="E167" s="23">
        <v>7594309.7999999998</v>
      </c>
      <c r="F167" s="23">
        <v>4292111.49</v>
      </c>
      <c r="H167" s="23">
        <v>220622.99</v>
      </c>
      <c r="J167" s="23">
        <v>11665798.300000001</v>
      </c>
      <c r="K167" s="22">
        <f t="shared" si="4"/>
        <v>4071488.5000000009</v>
      </c>
      <c r="L167" s="26">
        <f t="shared" si="5"/>
        <v>4071.4885000000008</v>
      </c>
    </row>
    <row r="168" spans="1:12" ht="15.95" customHeight="1" x14ac:dyDescent="0.2">
      <c r="A168" s="157">
        <v>5110102</v>
      </c>
      <c r="B168" s="480" t="s">
        <v>1286</v>
      </c>
      <c r="C168" s="476"/>
      <c r="D168" s="476"/>
      <c r="E168" s="23">
        <v>224337.36</v>
      </c>
      <c r="F168" s="23">
        <v>95874.92</v>
      </c>
      <c r="H168" s="23">
        <v>0</v>
      </c>
      <c r="J168" s="23">
        <v>320212.28000000003</v>
      </c>
      <c r="K168" s="22">
        <f t="shared" si="4"/>
        <v>95874.920000000042</v>
      </c>
      <c r="L168" s="26">
        <f t="shared" si="5"/>
        <v>95.874920000000046</v>
      </c>
    </row>
    <row r="169" spans="1:12" ht="15.95" customHeight="1" x14ac:dyDescent="0.2">
      <c r="A169" s="157">
        <v>5110103</v>
      </c>
      <c r="B169" s="480" t="s">
        <v>1295</v>
      </c>
      <c r="C169" s="476"/>
      <c r="D169" s="476"/>
      <c r="E169" s="23">
        <v>2215098.5</v>
      </c>
      <c r="F169" s="23">
        <v>1270017.24</v>
      </c>
      <c r="H169" s="23">
        <v>0</v>
      </c>
      <c r="J169" s="23">
        <v>3485115.74</v>
      </c>
      <c r="K169" s="22">
        <f t="shared" si="4"/>
        <v>1270017.2400000002</v>
      </c>
      <c r="L169" s="26">
        <f t="shared" si="5"/>
        <v>1270.0172400000001</v>
      </c>
    </row>
    <row r="170" spans="1:12" ht="15.95" customHeight="1" x14ac:dyDescent="0.2">
      <c r="A170" s="157">
        <v>5110104</v>
      </c>
      <c r="B170" s="480" t="s">
        <v>1325</v>
      </c>
      <c r="C170" s="476"/>
      <c r="D170" s="476"/>
      <c r="E170" s="23">
        <v>93776.97</v>
      </c>
      <c r="F170" s="23">
        <v>33004.36</v>
      </c>
      <c r="H170" s="23">
        <v>0</v>
      </c>
      <c r="J170" s="23">
        <v>126781.33</v>
      </c>
      <c r="K170" s="22">
        <f t="shared" si="4"/>
        <v>33004.36</v>
      </c>
      <c r="L170" s="26">
        <f t="shared" si="5"/>
        <v>33.004359999999998</v>
      </c>
    </row>
    <row r="171" spans="1:12" ht="15.95" customHeight="1" x14ac:dyDescent="0.2">
      <c r="A171" s="157">
        <v>5110105</v>
      </c>
      <c r="B171" s="480" t="s">
        <v>1343</v>
      </c>
      <c r="C171" s="476"/>
      <c r="D171" s="476"/>
      <c r="E171" s="23">
        <v>2605292</v>
      </c>
      <c r="F171" s="23">
        <v>1618141.96</v>
      </c>
      <c r="H171" s="23">
        <v>89489.04</v>
      </c>
      <c r="J171" s="23">
        <v>4133944.92</v>
      </c>
      <c r="K171" s="22">
        <f t="shared" si="4"/>
        <v>1528652.92</v>
      </c>
      <c r="L171" s="26">
        <f t="shared" si="5"/>
        <v>1528.65292</v>
      </c>
    </row>
    <row r="172" spans="1:12" ht="15.95" customHeight="1" x14ac:dyDescent="0.2">
      <c r="A172" s="157">
        <v>59</v>
      </c>
      <c r="B172" s="480" t="s">
        <v>1378</v>
      </c>
      <c r="C172" s="476"/>
      <c r="D172" s="476"/>
      <c r="E172" s="23">
        <v>769615.78</v>
      </c>
      <c r="F172" s="23">
        <v>1113401.4099999999</v>
      </c>
      <c r="H172" s="23">
        <v>632535.91</v>
      </c>
      <c r="J172" s="23">
        <v>1250481.28</v>
      </c>
      <c r="K172" s="22">
        <f t="shared" si="4"/>
        <v>480865.5</v>
      </c>
      <c r="L172" s="26">
        <f t="shared" si="5"/>
        <v>480.8655</v>
      </c>
    </row>
    <row r="173" spans="1:12" ht="15.95" customHeight="1" x14ac:dyDescent="0.2">
      <c r="A173" s="157">
        <v>591</v>
      </c>
      <c r="B173" s="480" t="s">
        <v>1379</v>
      </c>
      <c r="C173" s="476"/>
      <c r="D173" s="476"/>
      <c r="E173" s="23">
        <v>769615.78</v>
      </c>
      <c r="F173" s="23">
        <v>1113401.4099999999</v>
      </c>
      <c r="H173" s="23">
        <v>632535.91</v>
      </c>
      <c r="J173" s="23">
        <v>1250481.28</v>
      </c>
      <c r="K173" s="22">
        <f t="shared" si="4"/>
        <v>480865.5</v>
      </c>
      <c r="L173" s="26">
        <f t="shared" si="5"/>
        <v>480.8655</v>
      </c>
    </row>
    <row r="174" spans="1:12" ht="15.95" customHeight="1" x14ac:dyDescent="0.2">
      <c r="A174" s="157">
        <v>59101</v>
      </c>
      <c r="B174" s="480" t="s">
        <v>1380</v>
      </c>
      <c r="C174" s="476"/>
      <c r="D174" s="476"/>
      <c r="E174" s="23">
        <v>1177140.17</v>
      </c>
      <c r="F174" s="23">
        <v>1112444.1200000001</v>
      </c>
      <c r="H174" s="23">
        <v>127863.37</v>
      </c>
      <c r="J174" s="23">
        <v>2161720.92</v>
      </c>
      <c r="K174" s="22">
        <f t="shared" si="4"/>
        <v>984580.75</v>
      </c>
      <c r="L174" s="26">
        <f t="shared" si="5"/>
        <v>984.58074999999997</v>
      </c>
    </row>
    <row r="175" spans="1:12" ht="15.95" customHeight="1" x14ac:dyDescent="0.2">
      <c r="A175" s="157">
        <v>5910101</v>
      </c>
      <c r="B175" s="480" t="s">
        <v>1380</v>
      </c>
      <c r="C175" s="476"/>
      <c r="D175" s="476"/>
      <c r="E175" s="23">
        <v>1177140.17</v>
      </c>
      <c r="F175" s="23">
        <v>1112444.1200000001</v>
      </c>
      <c r="H175" s="23">
        <v>127863.37</v>
      </c>
      <c r="J175" s="23">
        <v>2161720.92</v>
      </c>
      <c r="K175" s="22">
        <f t="shared" si="4"/>
        <v>984580.75</v>
      </c>
      <c r="L175" s="26">
        <f t="shared" si="5"/>
        <v>984.58074999999997</v>
      </c>
    </row>
    <row r="176" spans="1:12" ht="15.95" customHeight="1" x14ac:dyDescent="0.2">
      <c r="A176" s="157">
        <v>59102</v>
      </c>
      <c r="B176" s="480" t="s">
        <v>1391</v>
      </c>
      <c r="C176" s="476"/>
      <c r="D176" s="476"/>
      <c r="E176" s="23">
        <v>-407524.39</v>
      </c>
      <c r="F176" s="23">
        <v>957.29</v>
      </c>
      <c r="H176" s="23">
        <v>504672.54</v>
      </c>
      <c r="J176" s="23">
        <v>-911239.64</v>
      </c>
      <c r="K176" s="22">
        <f t="shared" si="4"/>
        <v>-503715.25</v>
      </c>
      <c r="L176" s="26">
        <f t="shared" si="5"/>
        <v>-503.71525000000003</v>
      </c>
    </row>
    <row r="177" spans="1:12" ht="15.95" customHeight="1" x14ac:dyDescent="0.2">
      <c r="A177" s="157">
        <v>5910201</v>
      </c>
      <c r="B177" s="480" t="s">
        <v>1391</v>
      </c>
      <c r="C177" s="476"/>
      <c r="D177" s="476"/>
      <c r="E177" s="23">
        <v>-407524.39</v>
      </c>
      <c r="F177" s="23">
        <v>957.29</v>
      </c>
      <c r="H177" s="23">
        <v>504672.54</v>
      </c>
      <c r="J177" s="23">
        <v>-911239.64</v>
      </c>
      <c r="K177" s="22">
        <f t="shared" si="4"/>
        <v>-503715.25</v>
      </c>
      <c r="L177" s="26">
        <f t="shared" si="5"/>
        <v>-503.71525000000003</v>
      </c>
    </row>
    <row r="178" spans="1:12" ht="15.95" customHeight="1" x14ac:dyDescent="0.2">
      <c r="A178" s="157">
        <v>6</v>
      </c>
      <c r="B178" s="480" t="s">
        <v>1400</v>
      </c>
      <c r="C178" s="476"/>
      <c r="D178" s="476"/>
      <c r="E178" s="23">
        <v>1341557.3500000001</v>
      </c>
      <c r="F178" s="23">
        <v>1706838.7</v>
      </c>
      <c r="H178" s="23">
        <v>2074586.49</v>
      </c>
      <c r="J178" s="23">
        <v>973809.56</v>
      </c>
      <c r="K178" s="22">
        <f t="shared" si="4"/>
        <v>-367747.79000000004</v>
      </c>
      <c r="L178" s="26">
        <f t="shared" si="5"/>
        <v>-367.74779000000001</v>
      </c>
    </row>
    <row r="179" spans="1:12" ht="15.95" customHeight="1" x14ac:dyDescent="0.2">
      <c r="A179" s="157">
        <v>62</v>
      </c>
      <c r="B179" s="480" t="s">
        <v>1401</v>
      </c>
      <c r="C179" s="476"/>
      <c r="D179" s="476"/>
      <c r="E179" s="23">
        <v>1341557.3500000001</v>
      </c>
      <c r="F179" s="23">
        <v>1706838.7</v>
      </c>
      <c r="H179" s="23">
        <v>2074586.49</v>
      </c>
      <c r="J179" s="23">
        <v>973809.56</v>
      </c>
      <c r="K179" s="22">
        <f t="shared" si="4"/>
        <v>-367747.79000000004</v>
      </c>
      <c r="L179" s="26">
        <f t="shared" si="5"/>
        <v>-367.74779000000001</v>
      </c>
    </row>
    <row r="180" spans="1:12" ht="15.95" customHeight="1" x14ac:dyDescent="0.2">
      <c r="A180" s="157">
        <v>621</v>
      </c>
      <c r="B180" s="480" t="s">
        <v>1402</v>
      </c>
      <c r="C180" s="476"/>
      <c r="D180" s="476"/>
      <c r="E180" s="23">
        <v>-231991.41</v>
      </c>
      <c r="F180" s="23">
        <v>31.02</v>
      </c>
      <c r="H180" s="23">
        <v>1837103.78</v>
      </c>
      <c r="J180" s="23">
        <v>-2069064.17</v>
      </c>
      <c r="K180" s="22">
        <f t="shared" si="4"/>
        <v>-1837072.76</v>
      </c>
      <c r="L180" s="26">
        <f t="shared" si="5"/>
        <v>-1837.07276</v>
      </c>
    </row>
    <row r="181" spans="1:12" ht="15.95" customHeight="1" x14ac:dyDescent="0.2">
      <c r="A181" s="157">
        <v>62101</v>
      </c>
      <c r="B181" s="480" t="s">
        <v>1403</v>
      </c>
      <c r="C181" s="476"/>
      <c r="D181" s="476"/>
      <c r="E181" s="23">
        <v>-231991.41</v>
      </c>
      <c r="F181" s="23">
        <v>31.02</v>
      </c>
      <c r="H181" s="23">
        <v>1837103.78</v>
      </c>
      <c r="J181" s="23">
        <v>-2069064.17</v>
      </c>
      <c r="K181" s="22">
        <f t="shared" si="4"/>
        <v>-1837072.76</v>
      </c>
      <c r="L181" s="26">
        <f t="shared" si="5"/>
        <v>-1837.07276</v>
      </c>
    </row>
    <row r="182" spans="1:12" ht="15.95" customHeight="1" x14ac:dyDescent="0.2">
      <c r="A182" s="157">
        <v>6210101</v>
      </c>
      <c r="B182" s="480" t="s">
        <v>1404</v>
      </c>
      <c r="C182" s="476"/>
      <c r="D182" s="476"/>
      <c r="E182" s="23">
        <v>-231991.41</v>
      </c>
      <c r="F182" s="23">
        <v>31.02</v>
      </c>
      <c r="H182" s="23">
        <v>1837103.78</v>
      </c>
      <c r="J182" s="23">
        <v>-2069064.17</v>
      </c>
      <c r="K182" s="22">
        <f t="shared" si="4"/>
        <v>-1837072.76</v>
      </c>
      <c r="L182" s="26">
        <f t="shared" si="5"/>
        <v>-1837.07276</v>
      </c>
    </row>
    <row r="183" spans="1:12" ht="15.95" customHeight="1" x14ac:dyDescent="0.2">
      <c r="A183" s="157">
        <v>624</v>
      </c>
      <c r="B183" s="480" t="s">
        <v>1410</v>
      </c>
      <c r="C183" s="476"/>
      <c r="D183" s="476"/>
      <c r="E183" s="23">
        <v>1435069.13</v>
      </c>
      <c r="F183" s="23">
        <v>1220463.1299999999</v>
      </c>
      <c r="H183" s="23">
        <v>232590.05</v>
      </c>
      <c r="J183" s="23">
        <v>2422942.21</v>
      </c>
      <c r="K183" s="22">
        <f t="shared" si="4"/>
        <v>987873.08000000007</v>
      </c>
      <c r="L183" s="26">
        <f t="shared" si="5"/>
        <v>987.87308000000007</v>
      </c>
    </row>
    <row r="184" spans="1:12" ht="15.95" customHeight="1" x14ac:dyDescent="0.2">
      <c r="A184" s="157">
        <v>62401</v>
      </c>
      <c r="B184" s="480" t="s">
        <v>1410</v>
      </c>
      <c r="C184" s="476"/>
      <c r="D184" s="476"/>
      <c r="E184" s="23">
        <v>1435069.13</v>
      </c>
      <c r="F184" s="23">
        <v>1220463.1299999999</v>
      </c>
      <c r="H184" s="23">
        <v>232590.05</v>
      </c>
      <c r="J184" s="23">
        <v>2422942.21</v>
      </c>
      <c r="K184" s="22">
        <f t="shared" si="4"/>
        <v>987873.08000000007</v>
      </c>
      <c r="L184" s="26">
        <f t="shared" si="5"/>
        <v>987.87308000000007</v>
      </c>
    </row>
    <row r="185" spans="1:12" ht="15.95" customHeight="1" x14ac:dyDescent="0.2">
      <c r="A185" s="157">
        <v>6240101</v>
      </c>
      <c r="B185" s="480" t="s">
        <v>1410</v>
      </c>
      <c r="C185" s="476"/>
      <c r="D185" s="476"/>
      <c r="E185" s="23">
        <v>1435069.13</v>
      </c>
      <c r="F185" s="23">
        <v>1220463.1299999999</v>
      </c>
      <c r="H185" s="23">
        <v>232590.05</v>
      </c>
      <c r="J185" s="23">
        <v>2422942.21</v>
      </c>
      <c r="K185" s="22">
        <f t="shared" si="4"/>
        <v>987873.08000000007</v>
      </c>
      <c r="L185" s="26">
        <f t="shared" si="5"/>
        <v>987.87308000000007</v>
      </c>
    </row>
    <row r="186" spans="1:12" ht="15.95" customHeight="1" x14ac:dyDescent="0.2">
      <c r="A186" s="157">
        <v>625</v>
      </c>
      <c r="B186" s="480" t="s">
        <v>1413</v>
      </c>
      <c r="C186" s="476"/>
      <c r="D186" s="476"/>
      <c r="E186" s="23">
        <v>138479.63</v>
      </c>
      <c r="F186" s="23">
        <v>486344.55</v>
      </c>
      <c r="H186" s="23">
        <v>4892.66</v>
      </c>
      <c r="J186" s="23">
        <v>619931.52</v>
      </c>
      <c r="K186" s="22">
        <f t="shared" si="4"/>
        <v>481451.89</v>
      </c>
      <c r="L186" s="26">
        <f t="shared" si="5"/>
        <v>481.45188999999999</v>
      </c>
    </row>
    <row r="187" spans="1:12" ht="15.95" customHeight="1" x14ac:dyDescent="0.2">
      <c r="A187" s="157">
        <v>62501</v>
      </c>
      <c r="B187" s="480" t="s">
        <v>1413</v>
      </c>
      <c r="C187" s="476"/>
      <c r="D187" s="476"/>
      <c r="E187" s="23">
        <v>138479.63</v>
      </c>
      <c r="F187" s="23">
        <v>486344.55</v>
      </c>
      <c r="H187" s="23">
        <v>4892.66</v>
      </c>
      <c r="J187" s="23">
        <v>619931.52</v>
      </c>
      <c r="K187" s="22">
        <f t="shared" si="4"/>
        <v>481451.89</v>
      </c>
      <c r="L187" s="26">
        <f t="shared" si="5"/>
        <v>481.45188999999999</v>
      </c>
    </row>
    <row r="188" spans="1:12" ht="15.95" customHeight="1" x14ac:dyDescent="0.2">
      <c r="A188" s="157">
        <v>6250101</v>
      </c>
      <c r="B188" s="480" t="s">
        <v>1414</v>
      </c>
      <c r="C188" s="476"/>
      <c r="D188" s="476"/>
      <c r="E188" s="23">
        <v>138479.63</v>
      </c>
      <c r="F188" s="23">
        <v>486344.55</v>
      </c>
      <c r="H188" s="23">
        <v>4892.66</v>
      </c>
      <c r="J188" s="23">
        <v>619931.52</v>
      </c>
      <c r="K188" s="22">
        <f t="shared" si="4"/>
        <v>481451.89</v>
      </c>
      <c r="L188" s="26">
        <f t="shared" si="5"/>
        <v>481.45188999999999</v>
      </c>
    </row>
    <row r="189" spans="1:12" ht="15.95" customHeight="1" x14ac:dyDescent="0.2">
      <c r="A189" s="157">
        <v>9</v>
      </c>
      <c r="B189" s="480" t="s">
        <v>1419</v>
      </c>
      <c r="C189" s="476"/>
      <c r="D189" s="476"/>
      <c r="E189" s="23">
        <v>-5991513.4699999997</v>
      </c>
      <c r="F189" s="23">
        <v>0</v>
      </c>
      <c r="H189" s="23">
        <v>1796549.46</v>
      </c>
      <c r="J189" s="23">
        <v>-7788062.9299999997</v>
      </c>
      <c r="K189" s="22">
        <f t="shared" si="4"/>
        <v>-1796549.46</v>
      </c>
      <c r="L189" s="26">
        <f t="shared" si="5"/>
        <v>-1796.54946</v>
      </c>
    </row>
    <row r="190" spans="1:12" ht="15.95" customHeight="1" x14ac:dyDescent="0.2">
      <c r="A190" s="157">
        <v>91</v>
      </c>
      <c r="B190" s="480" t="s">
        <v>1420</v>
      </c>
      <c r="C190" s="476"/>
      <c r="D190" s="476"/>
      <c r="E190" s="23">
        <v>-5991513.4699999997</v>
      </c>
      <c r="F190" s="23">
        <v>0</v>
      </c>
      <c r="H190" s="23">
        <v>1796549.46</v>
      </c>
      <c r="J190" s="23">
        <v>-7788062.9299999997</v>
      </c>
      <c r="K190" s="22">
        <f t="shared" si="4"/>
        <v>-1796549.46</v>
      </c>
      <c r="L190" s="26">
        <f t="shared" si="5"/>
        <v>-1796.54946</v>
      </c>
    </row>
    <row r="191" spans="1:12" ht="15.95" customHeight="1" x14ac:dyDescent="0.2">
      <c r="A191" s="157">
        <v>911</v>
      </c>
      <c r="B191" s="480" t="s">
        <v>1421</v>
      </c>
      <c r="C191" s="476"/>
      <c r="D191" s="476"/>
      <c r="E191" s="23">
        <v>-5991513.4699999997</v>
      </c>
      <c r="F191" s="23">
        <v>0</v>
      </c>
      <c r="H191" s="23">
        <v>1796549.46</v>
      </c>
      <c r="J191" s="23">
        <v>-7788062.9299999997</v>
      </c>
      <c r="K191" s="22">
        <f t="shared" si="4"/>
        <v>-1796549.46</v>
      </c>
      <c r="L191" s="26">
        <f t="shared" si="5"/>
        <v>-1796.54946</v>
      </c>
    </row>
    <row r="192" spans="1:12" ht="15.95" customHeight="1" x14ac:dyDescent="0.2">
      <c r="A192" s="157">
        <v>91101</v>
      </c>
      <c r="B192" s="480" t="s">
        <v>1110</v>
      </c>
      <c r="C192" s="476"/>
      <c r="D192" s="476"/>
      <c r="E192" s="23">
        <v>-5991513.4699999997</v>
      </c>
      <c r="F192" s="23">
        <v>0</v>
      </c>
      <c r="H192" s="23">
        <v>1796549.46</v>
      </c>
      <c r="J192" s="23">
        <v>-7788062.9299999997</v>
      </c>
      <c r="K192" s="22">
        <f t="shared" si="4"/>
        <v>-1796549.46</v>
      </c>
      <c r="L192" s="26">
        <f t="shared" si="5"/>
        <v>-1796.54946</v>
      </c>
    </row>
    <row r="193" spans="1:12" ht="17.100000000000001" customHeight="1" x14ac:dyDescent="0.2">
      <c r="A193" s="159">
        <v>9110101</v>
      </c>
      <c r="B193" s="481" t="s">
        <v>1110</v>
      </c>
      <c r="C193" s="482"/>
      <c r="D193" s="482"/>
      <c r="E193" s="24">
        <v>-5991513.4699999997</v>
      </c>
      <c r="F193" s="24">
        <v>0</v>
      </c>
      <c r="G193" s="160"/>
      <c r="H193" s="24">
        <v>1796549.46</v>
      </c>
      <c r="I193" s="160"/>
      <c r="J193" s="24">
        <v>-7788062.9299999997</v>
      </c>
      <c r="K193" s="25">
        <f t="shared" si="4"/>
        <v>-1796549.46</v>
      </c>
      <c r="L193" s="163">
        <f t="shared" si="5"/>
        <v>-1796.54946</v>
      </c>
    </row>
    <row r="194" spans="1:12" ht="20.25" customHeight="1" x14ac:dyDescent="0.2">
      <c r="E194" s="23">
        <v>0</v>
      </c>
      <c r="F194" s="23">
        <v>90618288.849999994</v>
      </c>
      <c r="H194" s="23">
        <v>90618288.849999994</v>
      </c>
      <c r="J194" s="23">
        <v>0</v>
      </c>
      <c r="K194" s="22">
        <f t="shared" si="4"/>
        <v>0</v>
      </c>
      <c r="L194" s="26">
        <f t="shared" si="5"/>
        <v>0</v>
      </c>
    </row>
  </sheetData>
  <autoFilter ref="A1:K210"/>
  <mergeCells count="192">
    <mergeCell ref="B8:D8"/>
    <mergeCell ref="B9:D9"/>
    <mergeCell ref="B10:D10"/>
    <mergeCell ref="B11:D11"/>
    <mergeCell ref="B12:D12"/>
    <mergeCell ref="B13:D13"/>
    <mergeCell ref="B2:D2"/>
    <mergeCell ref="B3:D3"/>
    <mergeCell ref="B4:D4"/>
    <mergeCell ref="B5:D5"/>
    <mergeCell ref="B6:D6"/>
    <mergeCell ref="B7:D7"/>
    <mergeCell ref="B20:D20"/>
    <mergeCell ref="B21:D21"/>
    <mergeCell ref="B22:D22"/>
    <mergeCell ref="B23:D23"/>
    <mergeCell ref="B24:D24"/>
    <mergeCell ref="B25:D25"/>
    <mergeCell ref="B14:D14"/>
    <mergeCell ref="B15:D15"/>
    <mergeCell ref="B16:D16"/>
    <mergeCell ref="B17:D17"/>
    <mergeCell ref="B18:D18"/>
    <mergeCell ref="B19:D19"/>
    <mergeCell ref="B32:D32"/>
    <mergeCell ref="B33:D33"/>
    <mergeCell ref="B34:D34"/>
    <mergeCell ref="B35:D35"/>
    <mergeCell ref="B36:D36"/>
    <mergeCell ref="B37:D37"/>
    <mergeCell ref="B26:D26"/>
    <mergeCell ref="B27:D27"/>
    <mergeCell ref="B28:D28"/>
    <mergeCell ref="B29:D29"/>
    <mergeCell ref="B30:D30"/>
    <mergeCell ref="B31:D31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43:D43"/>
    <mergeCell ref="B56:D56"/>
    <mergeCell ref="B57:D57"/>
    <mergeCell ref="B58:D58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68:D68"/>
    <mergeCell ref="B69:D69"/>
    <mergeCell ref="B70:D70"/>
    <mergeCell ref="B71:D71"/>
    <mergeCell ref="B72:D72"/>
    <mergeCell ref="B73:D73"/>
    <mergeCell ref="B62:D62"/>
    <mergeCell ref="B63:D63"/>
    <mergeCell ref="B64:D64"/>
    <mergeCell ref="B65:D65"/>
    <mergeCell ref="B66:D66"/>
    <mergeCell ref="B67:D67"/>
    <mergeCell ref="B80:D80"/>
    <mergeCell ref="B81:D81"/>
    <mergeCell ref="B82:D82"/>
    <mergeCell ref="B83:D83"/>
    <mergeCell ref="B84:D84"/>
    <mergeCell ref="B85:D85"/>
    <mergeCell ref="B74:D74"/>
    <mergeCell ref="B75:D75"/>
    <mergeCell ref="B76:D76"/>
    <mergeCell ref="B77:D77"/>
    <mergeCell ref="B78:D78"/>
    <mergeCell ref="B79:D79"/>
    <mergeCell ref="B92:D92"/>
    <mergeCell ref="B93:D93"/>
    <mergeCell ref="B94:D94"/>
    <mergeCell ref="B95:D95"/>
    <mergeCell ref="B96:D96"/>
    <mergeCell ref="B97:D97"/>
    <mergeCell ref="B86:D86"/>
    <mergeCell ref="B87:D87"/>
    <mergeCell ref="B88:D88"/>
    <mergeCell ref="B89:D89"/>
    <mergeCell ref="B90:D90"/>
    <mergeCell ref="B91:D91"/>
    <mergeCell ref="B104:D104"/>
    <mergeCell ref="B105:D105"/>
    <mergeCell ref="B106:D106"/>
    <mergeCell ref="B107:D107"/>
    <mergeCell ref="B108:D108"/>
    <mergeCell ref="B109:D109"/>
    <mergeCell ref="B98:D98"/>
    <mergeCell ref="B99:D99"/>
    <mergeCell ref="B100:D100"/>
    <mergeCell ref="B101:D101"/>
    <mergeCell ref="B102:D102"/>
    <mergeCell ref="B103:D103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B128:D128"/>
    <mergeCell ref="B129:D129"/>
    <mergeCell ref="B130:D130"/>
    <mergeCell ref="B131:D131"/>
    <mergeCell ref="B132:D132"/>
    <mergeCell ref="B133:D133"/>
    <mergeCell ref="B122:D122"/>
    <mergeCell ref="B123:D123"/>
    <mergeCell ref="B124:D124"/>
    <mergeCell ref="B125:D125"/>
    <mergeCell ref="B126:D126"/>
    <mergeCell ref="B127:D127"/>
    <mergeCell ref="B140:D140"/>
    <mergeCell ref="B141:D141"/>
    <mergeCell ref="B142:D142"/>
    <mergeCell ref="B143:D143"/>
    <mergeCell ref="B144:D144"/>
    <mergeCell ref="B145:D145"/>
    <mergeCell ref="B134:D134"/>
    <mergeCell ref="B135:D135"/>
    <mergeCell ref="B136:D136"/>
    <mergeCell ref="B137:D137"/>
    <mergeCell ref="B138:D138"/>
    <mergeCell ref="B139:D139"/>
    <mergeCell ref="B152:D152"/>
    <mergeCell ref="B153:D153"/>
    <mergeCell ref="B154:D154"/>
    <mergeCell ref="B155:D155"/>
    <mergeCell ref="B156:D156"/>
    <mergeCell ref="B157:D157"/>
    <mergeCell ref="B146:D146"/>
    <mergeCell ref="B147:D147"/>
    <mergeCell ref="B148:D148"/>
    <mergeCell ref="B149:D149"/>
    <mergeCell ref="B150:D150"/>
    <mergeCell ref="B151:D151"/>
    <mergeCell ref="B164:D164"/>
    <mergeCell ref="B165:D165"/>
    <mergeCell ref="B166:D166"/>
    <mergeCell ref="B167:D167"/>
    <mergeCell ref="B168:D168"/>
    <mergeCell ref="B169:D169"/>
    <mergeCell ref="B158:D158"/>
    <mergeCell ref="B159:D159"/>
    <mergeCell ref="B160:D160"/>
    <mergeCell ref="B161:D161"/>
    <mergeCell ref="B162:D162"/>
    <mergeCell ref="B163:D163"/>
    <mergeCell ref="B176:D176"/>
    <mergeCell ref="B177:D177"/>
    <mergeCell ref="B178:D178"/>
    <mergeCell ref="B179:D179"/>
    <mergeCell ref="B180:D180"/>
    <mergeCell ref="B181:D181"/>
    <mergeCell ref="B170:D170"/>
    <mergeCell ref="B171:D171"/>
    <mergeCell ref="B172:D172"/>
    <mergeCell ref="B173:D173"/>
    <mergeCell ref="B174:D174"/>
    <mergeCell ref="B175:D175"/>
    <mergeCell ref="B188:D188"/>
    <mergeCell ref="B189:D189"/>
    <mergeCell ref="B190:D190"/>
    <mergeCell ref="B191:D191"/>
    <mergeCell ref="B192:D192"/>
    <mergeCell ref="B193:D193"/>
    <mergeCell ref="B182:D182"/>
    <mergeCell ref="B183:D183"/>
    <mergeCell ref="B184:D184"/>
    <mergeCell ref="B185:D185"/>
    <mergeCell ref="B186:D186"/>
    <mergeCell ref="B187:D187"/>
  </mergeCells>
  <pageMargins left="0.75" right="0.75" top="1" bottom="1" header="0.5" footer="0.5"/>
  <pageSetup paperSize="0" fitToWidth="0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1"/>
  <sheetViews>
    <sheetView topLeftCell="A78" zoomScale="124" zoomScaleNormal="124" workbookViewId="0">
      <selection activeCell="L658" sqref="L658"/>
    </sheetView>
  </sheetViews>
  <sheetFormatPr defaultRowHeight="12.75" x14ac:dyDescent="0.2"/>
  <cols>
    <col min="1" max="1" width="13.85546875" style="140" customWidth="1"/>
    <col min="2" max="2" width="2.140625" style="140" customWidth="1"/>
    <col min="3" max="3" width="23.5703125" style="140" customWidth="1"/>
    <col min="4" max="4" width="26.85546875" style="140" customWidth="1"/>
    <col min="5" max="5" width="16.140625" style="140" customWidth="1"/>
    <col min="6" max="6" width="15.42578125" style="140" customWidth="1"/>
    <col min="7" max="7" width="2.140625" style="140" customWidth="1"/>
    <col min="8" max="8" width="14" style="140" customWidth="1"/>
    <col min="9" max="9" width="2.140625" style="140" customWidth="1"/>
    <col min="10" max="10" width="15.42578125" style="140" customWidth="1"/>
    <col min="11" max="11" width="14.42578125" style="22" bestFit="1" customWidth="1"/>
    <col min="12" max="12" width="14" style="140" bestFit="1" customWidth="1"/>
    <col min="13" max="256" width="9.140625" style="140"/>
    <col min="257" max="257" width="13.85546875" style="140" customWidth="1"/>
    <col min="258" max="258" width="2.140625" style="140" customWidth="1"/>
    <col min="259" max="259" width="23.5703125" style="140" customWidth="1"/>
    <col min="260" max="260" width="26.85546875" style="140" customWidth="1"/>
    <col min="261" max="261" width="16.140625" style="140" customWidth="1"/>
    <col min="262" max="262" width="15.42578125" style="140" customWidth="1"/>
    <col min="263" max="263" width="2.140625" style="140" customWidth="1"/>
    <col min="264" max="264" width="14" style="140" customWidth="1"/>
    <col min="265" max="265" width="2.140625" style="140" customWidth="1"/>
    <col min="266" max="266" width="15.42578125" style="140" customWidth="1"/>
    <col min="267" max="512" width="9.140625" style="140"/>
    <col min="513" max="513" width="13.85546875" style="140" customWidth="1"/>
    <col min="514" max="514" width="2.140625" style="140" customWidth="1"/>
    <col min="515" max="515" width="23.5703125" style="140" customWidth="1"/>
    <col min="516" max="516" width="26.85546875" style="140" customWidth="1"/>
    <col min="517" max="517" width="16.140625" style="140" customWidth="1"/>
    <col min="518" max="518" width="15.42578125" style="140" customWidth="1"/>
    <col min="519" max="519" width="2.140625" style="140" customWidth="1"/>
    <col min="520" max="520" width="14" style="140" customWidth="1"/>
    <col min="521" max="521" width="2.140625" style="140" customWidth="1"/>
    <col min="522" max="522" width="15.42578125" style="140" customWidth="1"/>
    <col min="523" max="768" width="9.140625" style="140"/>
    <col min="769" max="769" width="13.85546875" style="140" customWidth="1"/>
    <col min="770" max="770" width="2.140625" style="140" customWidth="1"/>
    <col min="771" max="771" width="23.5703125" style="140" customWidth="1"/>
    <col min="772" max="772" width="26.85546875" style="140" customWidth="1"/>
    <col min="773" max="773" width="16.140625" style="140" customWidth="1"/>
    <col min="774" max="774" width="15.42578125" style="140" customWidth="1"/>
    <col min="775" max="775" width="2.140625" style="140" customWidth="1"/>
    <col min="776" max="776" width="14" style="140" customWidth="1"/>
    <col min="777" max="777" width="2.140625" style="140" customWidth="1"/>
    <col min="778" max="778" width="15.42578125" style="140" customWidth="1"/>
    <col min="779" max="1024" width="9.140625" style="140"/>
    <col min="1025" max="1025" width="13.85546875" style="140" customWidth="1"/>
    <col min="1026" max="1026" width="2.140625" style="140" customWidth="1"/>
    <col min="1027" max="1027" width="23.5703125" style="140" customWidth="1"/>
    <col min="1028" max="1028" width="26.85546875" style="140" customWidth="1"/>
    <col min="1029" max="1029" width="16.140625" style="140" customWidth="1"/>
    <col min="1030" max="1030" width="15.42578125" style="140" customWidth="1"/>
    <col min="1031" max="1031" width="2.140625" style="140" customWidth="1"/>
    <col min="1032" max="1032" width="14" style="140" customWidth="1"/>
    <col min="1033" max="1033" width="2.140625" style="140" customWidth="1"/>
    <col min="1034" max="1034" width="15.42578125" style="140" customWidth="1"/>
    <col min="1035" max="1280" width="9.140625" style="140"/>
    <col min="1281" max="1281" width="13.85546875" style="140" customWidth="1"/>
    <col min="1282" max="1282" width="2.140625" style="140" customWidth="1"/>
    <col min="1283" max="1283" width="23.5703125" style="140" customWidth="1"/>
    <col min="1284" max="1284" width="26.85546875" style="140" customWidth="1"/>
    <col min="1285" max="1285" width="16.140625" style="140" customWidth="1"/>
    <col min="1286" max="1286" width="15.42578125" style="140" customWidth="1"/>
    <col min="1287" max="1287" width="2.140625" style="140" customWidth="1"/>
    <col min="1288" max="1288" width="14" style="140" customWidth="1"/>
    <col min="1289" max="1289" width="2.140625" style="140" customWidth="1"/>
    <col min="1290" max="1290" width="15.42578125" style="140" customWidth="1"/>
    <col min="1291" max="1536" width="9.140625" style="140"/>
    <col min="1537" max="1537" width="13.85546875" style="140" customWidth="1"/>
    <col min="1538" max="1538" width="2.140625" style="140" customWidth="1"/>
    <col min="1539" max="1539" width="23.5703125" style="140" customWidth="1"/>
    <col min="1540" max="1540" width="26.85546875" style="140" customWidth="1"/>
    <col min="1541" max="1541" width="16.140625" style="140" customWidth="1"/>
    <col min="1542" max="1542" width="15.42578125" style="140" customWidth="1"/>
    <col min="1543" max="1543" width="2.140625" style="140" customWidth="1"/>
    <col min="1544" max="1544" width="14" style="140" customWidth="1"/>
    <col min="1545" max="1545" width="2.140625" style="140" customWidth="1"/>
    <col min="1546" max="1546" width="15.42578125" style="140" customWidth="1"/>
    <col min="1547" max="1792" width="9.140625" style="140"/>
    <col min="1793" max="1793" width="13.85546875" style="140" customWidth="1"/>
    <col min="1794" max="1794" width="2.140625" style="140" customWidth="1"/>
    <col min="1795" max="1795" width="23.5703125" style="140" customWidth="1"/>
    <col min="1796" max="1796" width="26.85546875" style="140" customWidth="1"/>
    <col min="1797" max="1797" width="16.140625" style="140" customWidth="1"/>
    <col min="1798" max="1798" width="15.42578125" style="140" customWidth="1"/>
    <col min="1799" max="1799" width="2.140625" style="140" customWidth="1"/>
    <col min="1800" max="1800" width="14" style="140" customWidth="1"/>
    <col min="1801" max="1801" width="2.140625" style="140" customWidth="1"/>
    <col min="1802" max="1802" width="15.42578125" style="140" customWidth="1"/>
    <col min="1803" max="2048" width="9.140625" style="140"/>
    <col min="2049" max="2049" width="13.85546875" style="140" customWidth="1"/>
    <col min="2050" max="2050" width="2.140625" style="140" customWidth="1"/>
    <col min="2051" max="2051" width="23.5703125" style="140" customWidth="1"/>
    <col min="2052" max="2052" width="26.85546875" style="140" customWidth="1"/>
    <col min="2053" max="2053" width="16.140625" style="140" customWidth="1"/>
    <col min="2054" max="2054" width="15.42578125" style="140" customWidth="1"/>
    <col min="2055" max="2055" width="2.140625" style="140" customWidth="1"/>
    <col min="2056" max="2056" width="14" style="140" customWidth="1"/>
    <col min="2057" max="2057" width="2.140625" style="140" customWidth="1"/>
    <col min="2058" max="2058" width="15.42578125" style="140" customWidth="1"/>
    <col min="2059" max="2304" width="9.140625" style="140"/>
    <col min="2305" max="2305" width="13.85546875" style="140" customWidth="1"/>
    <col min="2306" max="2306" width="2.140625" style="140" customWidth="1"/>
    <col min="2307" max="2307" width="23.5703125" style="140" customWidth="1"/>
    <col min="2308" max="2308" width="26.85546875" style="140" customWidth="1"/>
    <col min="2309" max="2309" width="16.140625" style="140" customWidth="1"/>
    <col min="2310" max="2310" width="15.42578125" style="140" customWidth="1"/>
    <col min="2311" max="2311" width="2.140625" style="140" customWidth="1"/>
    <col min="2312" max="2312" width="14" style="140" customWidth="1"/>
    <col min="2313" max="2313" width="2.140625" style="140" customWidth="1"/>
    <col min="2314" max="2314" width="15.42578125" style="140" customWidth="1"/>
    <col min="2315" max="2560" width="9.140625" style="140"/>
    <col min="2561" max="2561" width="13.85546875" style="140" customWidth="1"/>
    <col min="2562" max="2562" width="2.140625" style="140" customWidth="1"/>
    <col min="2563" max="2563" width="23.5703125" style="140" customWidth="1"/>
    <col min="2564" max="2564" width="26.85546875" style="140" customWidth="1"/>
    <col min="2565" max="2565" width="16.140625" style="140" customWidth="1"/>
    <col min="2566" max="2566" width="15.42578125" style="140" customWidth="1"/>
    <col min="2567" max="2567" width="2.140625" style="140" customWidth="1"/>
    <col min="2568" max="2568" width="14" style="140" customWidth="1"/>
    <col min="2569" max="2569" width="2.140625" style="140" customWidth="1"/>
    <col min="2570" max="2570" width="15.42578125" style="140" customWidth="1"/>
    <col min="2571" max="2816" width="9.140625" style="140"/>
    <col min="2817" max="2817" width="13.85546875" style="140" customWidth="1"/>
    <col min="2818" max="2818" width="2.140625" style="140" customWidth="1"/>
    <col min="2819" max="2819" width="23.5703125" style="140" customWidth="1"/>
    <col min="2820" max="2820" width="26.85546875" style="140" customWidth="1"/>
    <col min="2821" max="2821" width="16.140625" style="140" customWidth="1"/>
    <col min="2822" max="2822" width="15.42578125" style="140" customWidth="1"/>
    <col min="2823" max="2823" width="2.140625" style="140" customWidth="1"/>
    <col min="2824" max="2824" width="14" style="140" customWidth="1"/>
    <col min="2825" max="2825" width="2.140625" style="140" customWidth="1"/>
    <col min="2826" max="2826" width="15.42578125" style="140" customWidth="1"/>
    <col min="2827" max="3072" width="9.140625" style="140"/>
    <col min="3073" max="3073" width="13.85546875" style="140" customWidth="1"/>
    <col min="3074" max="3074" width="2.140625" style="140" customWidth="1"/>
    <col min="3075" max="3075" width="23.5703125" style="140" customWidth="1"/>
    <col min="3076" max="3076" width="26.85546875" style="140" customWidth="1"/>
    <col min="3077" max="3077" width="16.140625" style="140" customWidth="1"/>
    <col min="3078" max="3078" width="15.42578125" style="140" customWidth="1"/>
    <col min="3079" max="3079" width="2.140625" style="140" customWidth="1"/>
    <col min="3080" max="3080" width="14" style="140" customWidth="1"/>
    <col min="3081" max="3081" width="2.140625" style="140" customWidth="1"/>
    <col min="3082" max="3082" width="15.42578125" style="140" customWidth="1"/>
    <col min="3083" max="3328" width="9.140625" style="140"/>
    <col min="3329" max="3329" width="13.85546875" style="140" customWidth="1"/>
    <col min="3330" max="3330" width="2.140625" style="140" customWidth="1"/>
    <col min="3331" max="3331" width="23.5703125" style="140" customWidth="1"/>
    <col min="3332" max="3332" width="26.85546875" style="140" customWidth="1"/>
    <col min="3333" max="3333" width="16.140625" style="140" customWidth="1"/>
    <col min="3334" max="3334" width="15.42578125" style="140" customWidth="1"/>
    <col min="3335" max="3335" width="2.140625" style="140" customWidth="1"/>
    <col min="3336" max="3336" width="14" style="140" customWidth="1"/>
    <col min="3337" max="3337" width="2.140625" style="140" customWidth="1"/>
    <col min="3338" max="3338" width="15.42578125" style="140" customWidth="1"/>
    <col min="3339" max="3584" width="9.140625" style="140"/>
    <col min="3585" max="3585" width="13.85546875" style="140" customWidth="1"/>
    <col min="3586" max="3586" width="2.140625" style="140" customWidth="1"/>
    <col min="3587" max="3587" width="23.5703125" style="140" customWidth="1"/>
    <col min="3588" max="3588" width="26.85546875" style="140" customWidth="1"/>
    <col min="3589" max="3589" width="16.140625" style="140" customWidth="1"/>
    <col min="3590" max="3590" width="15.42578125" style="140" customWidth="1"/>
    <col min="3591" max="3591" width="2.140625" style="140" customWidth="1"/>
    <col min="3592" max="3592" width="14" style="140" customWidth="1"/>
    <col min="3593" max="3593" width="2.140625" style="140" customWidth="1"/>
    <col min="3594" max="3594" width="15.42578125" style="140" customWidth="1"/>
    <col min="3595" max="3840" width="9.140625" style="140"/>
    <col min="3841" max="3841" width="13.85546875" style="140" customWidth="1"/>
    <col min="3842" max="3842" width="2.140625" style="140" customWidth="1"/>
    <col min="3843" max="3843" width="23.5703125" style="140" customWidth="1"/>
    <col min="3844" max="3844" width="26.85546875" style="140" customWidth="1"/>
    <col min="3845" max="3845" width="16.140625" style="140" customWidth="1"/>
    <col min="3846" max="3846" width="15.42578125" style="140" customWidth="1"/>
    <col min="3847" max="3847" width="2.140625" style="140" customWidth="1"/>
    <col min="3848" max="3848" width="14" style="140" customWidth="1"/>
    <col min="3849" max="3849" width="2.140625" style="140" customWidth="1"/>
    <col min="3850" max="3850" width="15.42578125" style="140" customWidth="1"/>
    <col min="3851" max="4096" width="9.140625" style="140"/>
    <col min="4097" max="4097" width="13.85546875" style="140" customWidth="1"/>
    <col min="4098" max="4098" width="2.140625" style="140" customWidth="1"/>
    <col min="4099" max="4099" width="23.5703125" style="140" customWidth="1"/>
    <col min="4100" max="4100" width="26.85546875" style="140" customWidth="1"/>
    <col min="4101" max="4101" width="16.140625" style="140" customWidth="1"/>
    <col min="4102" max="4102" width="15.42578125" style="140" customWidth="1"/>
    <col min="4103" max="4103" width="2.140625" style="140" customWidth="1"/>
    <col min="4104" max="4104" width="14" style="140" customWidth="1"/>
    <col min="4105" max="4105" width="2.140625" style="140" customWidth="1"/>
    <col min="4106" max="4106" width="15.42578125" style="140" customWidth="1"/>
    <col min="4107" max="4352" width="9.140625" style="140"/>
    <col min="4353" max="4353" width="13.85546875" style="140" customWidth="1"/>
    <col min="4354" max="4354" width="2.140625" style="140" customWidth="1"/>
    <col min="4355" max="4355" width="23.5703125" style="140" customWidth="1"/>
    <col min="4356" max="4356" width="26.85546875" style="140" customWidth="1"/>
    <col min="4357" max="4357" width="16.140625" style="140" customWidth="1"/>
    <col min="4358" max="4358" width="15.42578125" style="140" customWidth="1"/>
    <col min="4359" max="4359" width="2.140625" style="140" customWidth="1"/>
    <col min="4360" max="4360" width="14" style="140" customWidth="1"/>
    <col min="4361" max="4361" width="2.140625" style="140" customWidth="1"/>
    <col min="4362" max="4362" width="15.42578125" style="140" customWidth="1"/>
    <col min="4363" max="4608" width="9.140625" style="140"/>
    <col min="4609" max="4609" width="13.85546875" style="140" customWidth="1"/>
    <col min="4610" max="4610" width="2.140625" style="140" customWidth="1"/>
    <col min="4611" max="4611" width="23.5703125" style="140" customWidth="1"/>
    <col min="4612" max="4612" width="26.85546875" style="140" customWidth="1"/>
    <col min="4613" max="4613" width="16.140625" style="140" customWidth="1"/>
    <col min="4614" max="4614" width="15.42578125" style="140" customWidth="1"/>
    <col min="4615" max="4615" width="2.140625" style="140" customWidth="1"/>
    <col min="4616" max="4616" width="14" style="140" customWidth="1"/>
    <col min="4617" max="4617" width="2.140625" style="140" customWidth="1"/>
    <col min="4618" max="4618" width="15.42578125" style="140" customWidth="1"/>
    <col min="4619" max="4864" width="9.140625" style="140"/>
    <col min="4865" max="4865" width="13.85546875" style="140" customWidth="1"/>
    <col min="4866" max="4866" width="2.140625" style="140" customWidth="1"/>
    <col min="4867" max="4867" width="23.5703125" style="140" customWidth="1"/>
    <col min="4868" max="4868" width="26.85546875" style="140" customWidth="1"/>
    <col min="4869" max="4869" width="16.140625" style="140" customWidth="1"/>
    <col min="4870" max="4870" width="15.42578125" style="140" customWidth="1"/>
    <col min="4871" max="4871" width="2.140625" style="140" customWidth="1"/>
    <col min="4872" max="4872" width="14" style="140" customWidth="1"/>
    <col min="4873" max="4873" width="2.140625" style="140" customWidth="1"/>
    <col min="4874" max="4874" width="15.42578125" style="140" customWidth="1"/>
    <col min="4875" max="5120" width="9.140625" style="140"/>
    <col min="5121" max="5121" width="13.85546875" style="140" customWidth="1"/>
    <col min="5122" max="5122" width="2.140625" style="140" customWidth="1"/>
    <col min="5123" max="5123" width="23.5703125" style="140" customWidth="1"/>
    <col min="5124" max="5124" width="26.85546875" style="140" customWidth="1"/>
    <col min="5125" max="5125" width="16.140625" style="140" customWidth="1"/>
    <col min="5126" max="5126" width="15.42578125" style="140" customWidth="1"/>
    <col min="5127" max="5127" width="2.140625" style="140" customWidth="1"/>
    <col min="5128" max="5128" width="14" style="140" customWidth="1"/>
    <col min="5129" max="5129" width="2.140625" style="140" customWidth="1"/>
    <col min="5130" max="5130" width="15.42578125" style="140" customWidth="1"/>
    <col min="5131" max="5376" width="9.140625" style="140"/>
    <col min="5377" max="5377" width="13.85546875" style="140" customWidth="1"/>
    <col min="5378" max="5378" width="2.140625" style="140" customWidth="1"/>
    <col min="5379" max="5379" width="23.5703125" style="140" customWidth="1"/>
    <col min="5380" max="5380" width="26.85546875" style="140" customWidth="1"/>
    <col min="5381" max="5381" width="16.140625" style="140" customWidth="1"/>
    <col min="5382" max="5382" width="15.42578125" style="140" customWidth="1"/>
    <col min="5383" max="5383" width="2.140625" style="140" customWidth="1"/>
    <col min="5384" max="5384" width="14" style="140" customWidth="1"/>
    <col min="5385" max="5385" width="2.140625" style="140" customWidth="1"/>
    <col min="5386" max="5386" width="15.42578125" style="140" customWidth="1"/>
    <col min="5387" max="5632" width="9.140625" style="140"/>
    <col min="5633" max="5633" width="13.85546875" style="140" customWidth="1"/>
    <col min="5634" max="5634" width="2.140625" style="140" customWidth="1"/>
    <col min="5635" max="5635" width="23.5703125" style="140" customWidth="1"/>
    <col min="5636" max="5636" width="26.85546875" style="140" customWidth="1"/>
    <col min="5637" max="5637" width="16.140625" style="140" customWidth="1"/>
    <col min="5638" max="5638" width="15.42578125" style="140" customWidth="1"/>
    <col min="5639" max="5639" width="2.140625" style="140" customWidth="1"/>
    <col min="5640" max="5640" width="14" style="140" customWidth="1"/>
    <col min="5641" max="5641" width="2.140625" style="140" customWidth="1"/>
    <col min="5642" max="5642" width="15.42578125" style="140" customWidth="1"/>
    <col min="5643" max="5888" width="9.140625" style="140"/>
    <col min="5889" max="5889" width="13.85546875" style="140" customWidth="1"/>
    <col min="5890" max="5890" width="2.140625" style="140" customWidth="1"/>
    <col min="5891" max="5891" width="23.5703125" style="140" customWidth="1"/>
    <col min="5892" max="5892" width="26.85546875" style="140" customWidth="1"/>
    <col min="5893" max="5893" width="16.140625" style="140" customWidth="1"/>
    <col min="5894" max="5894" width="15.42578125" style="140" customWidth="1"/>
    <col min="5895" max="5895" width="2.140625" style="140" customWidth="1"/>
    <col min="5896" max="5896" width="14" style="140" customWidth="1"/>
    <col min="5897" max="5897" width="2.140625" style="140" customWidth="1"/>
    <col min="5898" max="5898" width="15.42578125" style="140" customWidth="1"/>
    <col min="5899" max="6144" width="9.140625" style="140"/>
    <col min="6145" max="6145" width="13.85546875" style="140" customWidth="1"/>
    <col min="6146" max="6146" width="2.140625" style="140" customWidth="1"/>
    <col min="6147" max="6147" width="23.5703125" style="140" customWidth="1"/>
    <col min="6148" max="6148" width="26.85546875" style="140" customWidth="1"/>
    <col min="6149" max="6149" width="16.140625" style="140" customWidth="1"/>
    <col min="6150" max="6150" width="15.42578125" style="140" customWidth="1"/>
    <col min="6151" max="6151" width="2.140625" style="140" customWidth="1"/>
    <col min="6152" max="6152" width="14" style="140" customWidth="1"/>
    <col min="6153" max="6153" width="2.140625" style="140" customWidth="1"/>
    <col min="6154" max="6154" width="15.42578125" style="140" customWidth="1"/>
    <col min="6155" max="6400" width="9.140625" style="140"/>
    <col min="6401" max="6401" width="13.85546875" style="140" customWidth="1"/>
    <col min="6402" max="6402" width="2.140625" style="140" customWidth="1"/>
    <col min="6403" max="6403" width="23.5703125" style="140" customWidth="1"/>
    <col min="6404" max="6404" width="26.85546875" style="140" customWidth="1"/>
    <col min="6405" max="6405" width="16.140625" style="140" customWidth="1"/>
    <col min="6406" max="6406" width="15.42578125" style="140" customWidth="1"/>
    <col min="6407" max="6407" width="2.140625" style="140" customWidth="1"/>
    <col min="6408" max="6408" width="14" style="140" customWidth="1"/>
    <col min="6409" max="6409" width="2.140625" style="140" customWidth="1"/>
    <col min="6410" max="6410" width="15.42578125" style="140" customWidth="1"/>
    <col min="6411" max="6656" width="9.140625" style="140"/>
    <col min="6657" max="6657" width="13.85546875" style="140" customWidth="1"/>
    <col min="6658" max="6658" width="2.140625" style="140" customWidth="1"/>
    <col min="6659" max="6659" width="23.5703125" style="140" customWidth="1"/>
    <col min="6660" max="6660" width="26.85546875" style="140" customWidth="1"/>
    <col min="6661" max="6661" width="16.140625" style="140" customWidth="1"/>
    <col min="6662" max="6662" width="15.42578125" style="140" customWidth="1"/>
    <col min="6663" max="6663" width="2.140625" style="140" customWidth="1"/>
    <col min="6664" max="6664" width="14" style="140" customWidth="1"/>
    <col min="6665" max="6665" width="2.140625" style="140" customWidth="1"/>
    <col min="6666" max="6666" width="15.42578125" style="140" customWidth="1"/>
    <col min="6667" max="6912" width="9.140625" style="140"/>
    <col min="6913" max="6913" width="13.85546875" style="140" customWidth="1"/>
    <col min="6914" max="6914" width="2.140625" style="140" customWidth="1"/>
    <col min="6915" max="6915" width="23.5703125" style="140" customWidth="1"/>
    <col min="6916" max="6916" width="26.85546875" style="140" customWidth="1"/>
    <col min="6917" max="6917" width="16.140625" style="140" customWidth="1"/>
    <col min="6918" max="6918" width="15.42578125" style="140" customWidth="1"/>
    <col min="6919" max="6919" width="2.140625" style="140" customWidth="1"/>
    <col min="6920" max="6920" width="14" style="140" customWidth="1"/>
    <col min="6921" max="6921" width="2.140625" style="140" customWidth="1"/>
    <col min="6922" max="6922" width="15.42578125" style="140" customWidth="1"/>
    <col min="6923" max="7168" width="9.140625" style="140"/>
    <col min="7169" max="7169" width="13.85546875" style="140" customWidth="1"/>
    <col min="7170" max="7170" width="2.140625" style="140" customWidth="1"/>
    <col min="7171" max="7171" width="23.5703125" style="140" customWidth="1"/>
    <col min="7172" max="7172" width="26.85546875" style="140" customWidth="1"/>
    <col min="7173" max="7173" width="16.140625" style="140" customWidth="1"/>
    <col min="7174" max="7174" width="15.42578125" style="140" customWidth="1"/>
    <col min="7175" max="7175" width="2.140625" style="140" customWidth="1"/>
    <col min="7176" max="7176" width="14" style="140" customWidth="1"/>
    <col min="7177" max="7177" width="2.140625" style="140" customWidth="1"/>
    <col min="7178" max="7178" width="15.42578125" style="140" customWidth="1"/>
    <col min="7179" max="7424" width="9.140625" style="140"/>
    <col min="7425" max="7425" width="13.85546875" style="140" customWidth="1"/>
    <col min="7426" max="7426" width="2.140625" style="140" customWidth="1"/>
    <col min="7427" max="7427" width="23.5703125" style="140" customWidth="1"/>
    <col min="7428" max="7428" width="26.85546875" style="140" customWidth="1"/>
    <col min="7429" max="7429" width="16.140625" style="140" customWidth="1"/>
    <col min="7430" max="7430" width="15.42578125" style="140" customWidth="1"/>
    <col min="7431" max="7431" width="2.140625" style="140" customWidth="1"/>
    <col min="7432" max="7432" width="14" style="140" customWidth="1"/>
    <col min="7433" max="7433" width="2.140625" style="140" customWidth="1"/>
    <col min="7434" max="7434" width="15.42578125" style="140" customWidth="1"/>
    <col min="7435" max="7680" width="9.140625" style="140"/>
    <col min="7681" max="7681" width="13.85546875" style="140" customWidth="1"/>
    <col min="7682" max="7682" width="2.140625" style="140" customWidth="1"/>
    <col min="7683" max="7683" width="23.5703125" style="140" customWidth="1"/>
    <col min="7684" max="7684" width="26.85546875" style="140" customWidth="1"/>
    <col min="7685" max="7685" width="16.140625" style="140" customWidth="1"/>
    <col min="7686" max="7686" width="15.42578125" style="140" customWidth="1"/>
    <col min="7687" max="7687" width="2.140625" style="140" customWidth="1"/>
    <col min="7688" max="7688" width="14" style="140" customWidth="1"/>
    <col min="7689" max="7689" width="2.140625" style="140" customWidth="1"/>
    <col min="7690" max="7690" width="15.42578125" style="140" customWidth="1"/>
    <col min="7691" max="7936" width="9.140625" style="140"/>
    <col min="7937" max="7937" width="13.85546875" style="140" customWidth="1"/>
    <col min="7938" max="7938" width="2.140625" style="140" customWidth="1"/>
    <col min="7939" max="7939" width="23.5703125" style="140" customWidth="1"/>
    <col min="7940" max="7940" width="26.85546875" style="140" customWidth="1"/>
    <col min="7941" max="7941" width="16.140625" style="140" customWidth="1"/>
    <col min="7942" max="7942" width="15.42578125" style="140" customWidth="1"/>
    <col min="7943" max="7943" width="2.140625" style="140" customWidth="1"/>
    <col min="7944" max="7944" width="14" style="140" customWidth="1"/>
    <col min="7945" max="7945" width="2.140625" style="140" customWidth="1"/>
    <col min="7946" max="7946" width="15.42578125" style="140" customWidth="1"/>
    <col min="7947" max="8192" width="9.140625" style="140"/>
    <col min="8193" max="8193" width="13.85546875" style="140" customWidth="1"/>
    <col min="8194" max="8194" width="2.140625" style="140" customWidth="1"/>
    <col min="8195" max="8195" width="23.5703125" style="140" customWidth="1"/>
    <col min="8196" max="8196" width="26.85546875" style="140" customWidth="1"/>
    <col min="8197" max="8197" width="16.140625" style="140" customWidth="1"/>
    <col min="8198" max="8198" width="15.42578125" style="140" customWidth="1"/>
    <col min="8199" max="8199" width="2.140625" style="140" customWidth="1"/>
    <col min="8200" max="8200" width="14" style="140" customWidth="1"/>
    <col min="8201" max="8201" width="2.140625" style="140" customWidth="1"/>
    <col min="8202" max="8202" width="15.42578125" style="140" customWidth="1"/>
    <col min="8203" max="8448" width="9.140625" style="140"/>
    <col min="8449" max="8449" width="13.85546875" style="140" customWidth="1"/>
    <col min="8450" max="8450" width="2.140625" style="140" customWidth="1"/>
    <col min="8451" max="8451" width="23.5703125" style="140" customWidth="1"/>
    <col min="8452" max="8452" width="26.85546875" style="140" customWidth="1"/>
    <col min="8453" max="8453" width="16.140625" style="140" customWidth="1"/>
    <col min="8454" max="8454" width="15.42578125" style="140" customWidth="1"/>
    <col min="8455" max="8455" width="2.140625" style="140" customWidth="1"/>
    <col min="8456" max="8456" width="14" style="140" customWidth="1"/>
    <col min="8457" max="8457" width="2.140625" style="140" customWidth="1"/>
    <col min="8458" max="8458" width="15.42578125" style="140" customWidth="1"/>
    <col min="8459" max="8704" width="9.140625" style="140"/>
    <col min="8705" max="8705" width="13.85546875" style="140" customWidth="1"/>
    <col min="8706" max="8706" width="2.140625" style="140" customWidth="1"/>
    <col min="8707" max="8707" width="23.5703125" style="140" customWidth="1"/>
    <col min="8708" max="8708" width="26.85546875" style="140" customWidth="1"/>
    <col min="8709" max="8709" width="16.140625" style="140" customWidth="1"/>
    <col min="8710" max="8710" width="15.42578125" style="140" customWidth="1"/>
    <col min="8711" max="8711" width="2.140625" style="140" customWidth="1"/>
    <col min="8712" max="8712" width="14" style="140" customWidth="1"/>
    <col min="8713" max="8713" width="2.140625" style="140" customWidth="1"/>
    <col min="8714" max="8714" width="15.42578125" style="140" customWidth="1"/>
    <col min="8715" max="8960" width="9.140625" style="140"/>
    <col min="8961" max="8961" width="13.85546875" style="140" customWidth="1"/>
    <col min="8962" max="8962" width="2.140625" style="140" customWidth="1"/>
    <col min="8963" max="8963" width="23.5703125" style="140" customWidth="1"/>
    <col min="8964" max="8964" width="26.85546875" style="140" customWidth="1"/>
    <col min="8965" max="8965" width="16.140625" style="140" customWidth="1"/>
    <col min="8966" max="8966" width="15.42578125" style="140" customWidth="1"/>
    <col min="8967" max="8967" width="2.140625" style="140" customWidth="1"/>
    <col min="8968" max="8968" width="14" style="140" customWidth="1"/>
    <col min="8969" max="8969" width="2.140625" style="140" customWidth="1"/>
    <col min="8970" max="8970" width="15.42578125" style="140" customWidth="1"/>
    <col min="8971" max="9216" width="9.140625" style="140"/>
    <col min="9217" max="9217" width="13.85546875" style="140" customWidth="1"/>
    <col min="9218" max="9218" width="2.140625" style="140" customWidth="1"/>
    <col min="9219" max="9219" width="23.5703125" style="140" customWidth="1"/>
    <col min="9220" max="9220" width="26.85546875" style="140" customWidth="1"/>
    <col min="9221" max="9221" width="16.140625" style="140" customWidth="1"/>
    <col min="9222" max="9222" width="15.42578125" style="140" customWidth="1"/>
    <col min="9223" max="9223" width="2.140625" style="140" customWidth="1"/>
    <col min="9224" max="9224" width="14" style="140" customWidth="1"/>
    <col min="9225" max="9225" width="2.140625" style="140" customWidth="1"/>
    <col min="9226" max="9226" width="15.42578125" style="140" customWidth="1"/>
    <col min="9227" max="9472" width="9.140625" style="140"/>
    <col min="9473" max="9473" width="13.85546875" style="140" customWidth="1"/>
    <col min="9474" max="9474" width="2.140625" style="140" customWidth="1"/>
    <col min="9475" max="9475" width="23.5703125" style="140" customWidth="1"/>
    <col min="9476" max="9476" width="26.85546875" style="140" customWidth="1"/>
    <col min="9477" max="9477" width="16.140625" style="140" customWidth="1"/>
    <col min="9478" max="9478" width="15.42578125" style="140" customWidth="1"/>
    <col min="9479" max="9479" width="2.140625" style="140" customWidth="1"/>
    <col min="9480" max="9480" width="14" style="140" customWidth="1"/>
    <col min="9481" max="9481" width="2.140625" style="140" customWidth="1"/>
    <col min="9482" max="9482" width="15.42578125" style="140" customWidth="1"/>
    <col min="9483" max="9728" width="9.140625" style="140"/>
    <col min="9729" max="9729" width="13.85546875" style="140" customWidth="1"/>
    <col min="9730" max="9730" width="2.140625" style="140" customWidth="1"/>
    <col min="9731" max="9731" width="23.5703125" style="140" customWidth="1"/>
    <col min="9732" max="9732" width="26.85546875" style="140" customWidth="1"/>
    <col min="9733" max="9733" width="16.140625" style="140" customWidth="1"/>
    <col min="9734" max="9734" width="15.42578125" style="140" customWidth="1"/>
    <col min="9735" max="9735" width="2.140625" style="140" customWidth="1"/>
    <col min="9736" max="9736" width="14" style="140" customWidth="1"/>
    <col min="9737" max="9737" width="2.140625" style="140" customWidth="1"/>
    <col min="9738" max="9738" width="15.42578125" style="140" customWidth="1"/>
    <col min="9739" max="9984" width="9.140625" style="140"/>
    <col min="9985" max="9985" width="13.85546875" style="140" customWidth="1"/>
    <col min="9986" max="9986" width="2.140625" style="140" customWidth="1"/>
    <col min="9987" max="9987" width="23.5703125" style="140" customWidth="1"/>
    <col min="9988" max="9988" width="26.85546875" style="140" customWidth="1"/>
    <col min="9989" max="9989" width="16.140625" style="140" customWidth="1"/>
    <col min="9990" max="9990" width="15.42578125" style="140" customWidth="1"/>
    <col min="9991" max="9991" width="2.140625" style="140" customWidth="1"/>
    <col min="9992" max="9992" width="14" style="140" customWidth="1"/>
    <col min="9993" max="9993" width="2.140625" style="140" customWidth="1"/>
    <col min="9994" max="9994" width="15.42578125" style="140" customWidth="1"/>
    <col min="9995" max="10240" width="9.140625" style="140"/>
    <col min="10241" max="10241" width="13.85546875" style="140" customWidth="1"/>
    <col min="10242" max="10242" width="2.140625" style="140" customWidth="1"/>
    <col min="10243" max="10243" width="23.5703125" style="140" customWidth="1"/>
    <col min="10244" max="10244" width="26.85546875" style="140" customWidth="1"/>
    <col min="10245" max="10245" width="16.140625" style="140" customWidth="1"/>
    <col min="10246" max="10246" width="15.42578125" style="140" customWidth="1"/>
    <col min="10247" max="10247" width="2.140625" style="140" customWidth="1"/>
    <col min="10248" max="10248" width="14" style="140" customWidth="1"/>
    <col min="10249" max="10249" width="2.140625" style="140" customWidth="1"/>
    <col min="10250" max="10250" width="15.42578125" style="140" customWidth="1"/>
    <col min="10251" max="10496" width="9.140625" style="140"/>
    <col min="10497" max="10497" width="13.85546875" style="140" customWidth="1"/>
    <col min="10498" max="10498" width="2.140625" style="140" customWidth="1"/>
    <col min="10499" max="10499" width="23.5703125" style="140" customWidth="1"/>
    <col min="10500" max="10500" width="26.85546875" style="140" customWidth="1"/>
    <col min="10501" max="10501" width="16.140625" style="140" customWidth="1"/>
    <col min="10502" max="10502" width="15.42578125" style="140" customWidth="1"/>
    <col min="10503" max="10503" width="2.140625" style="140" customWidth="1"/>
    <col min="10504" max="10504" width="14" style="140" customWidth="1"/>
    <col min="10505" max="10505" width="2.140625" style="140" customWidth="1"/>
    <col min="10506" max="10506" width="15.42578125" style="140" customWidth="1"/>
    <col min="10507" max="10752" width="9.140625" style="140"/>
    <col min="10753" max="10753" width="13.85546875" style="140" customWidth="1"/>
    <col min="10754" max="10754" width="2.140625" style="140" customWidth="1"/>
    <col min="10755" max="10755" width="23.5703125" style="140" customWidth="1"/>
    <col min="10756" max="10756" width="26.85546875" style="140" customWidth="1"/>
    <col min="10757" max="10757" width="16.140625" style="140" customWidth="1"/>
    <col min="10758" max="10758" width="15.42578125" style="140" customWidth="1"/>
    <col min="10759" max="10759" width="2.140625" style="140" customWidth="1"/>
    <col min="10760" max="10760" width="14" style="140" customWidth="1"/>
    <col min="10761" max="10761" width="2.140625" style="140" customWidth="1"/>
    <col min="10762" max="10762" width="15.42578125" style="140" customWidth="1"/>
    <col min="10763" max="11008" width="9.140625" style="140"/>
    <col min="11009" max="11009" width="13.85546875" style="140" customWidth="1"/>
    <col min="11010" max="11010" width="2.140625" style="140" customWidth="1"/>
    <col min="11011" max="11011" width="23.5703125" style="140" customWidth="1"/>
    <col min="11012" max="11012" width="26.85546875" style="140" customWidth="1"/>
    <col min="11013" max="11013" width="16.140625" style="140" customWidth="1"/>
    <col min="11014" max="11014" width="15.42578125" style="140" customWidth="1"/>
    <col min="11015" max="11015" width="2.140625" style="140" customWidth="1"/>
    <col min="11016" max="11016" width="14" style="140" customWidth="1"/>
    <col min="11017" max="11017" width="2.140625" style="140" customWidth="1"/>
    <col min="11018" max="11018" width="15.42578125" style="140" customWidth="1"/>
    <col min="11019" max="11264" width="9.140625" style="140"/>
    <col min="11265" max="11265" width="13.85546875" style="140" customWidth="1"/>
    <col min="11266" max="11266" width="2.140625" style="140" customWidth="1"/>
    <col min="11267" max="11267" width="23.5703125" style="140" customWidth="1"/>
    <col min="11268" max="11268" width="26.85546875" style="140" customWidth="1"/>
    <col min="11269" max="11269" width="16.140625" style="140" customWidth="1"/>
    <col min="11270" max="11270" width="15.42578125" style="140" customWidth="1"/>
    <col min="11271" max="11271" width="2.140625" style="140" customWidth="1"/>
    <col min="11272" max="11272" width="14" style="140" customWidth="1"/>
    <col min="11273" max="11273" width="2.140625" style="140" customWidth="1"/>
    <col min="11274" max="11274" width="15.42578125" style="140" customWidth="1"/>
    <col min="11275" max="11520" width="9.140625" style="140"/>
    <col min="11521" max="11521" width="13.85546875" style="140" customWidth="1"/>
    <col min="11522" max="11522" width="2.140625" style="140" customWidth="1"/>
    <col min="11523" max="11523" width="23.5703125" style="140" customWidth="1"/>
    <col min="11524" max="11524" width="26.85546875" style="140" customWidth="1"/>
    <col min="11525" max="11525" width="16.140625" style="140" customWidth="1"/>
    <col min="11526" max="11526" width="15.42578125" style="140" customWidth="1"/>
    <col min="11527" max="11527" width="2.140625" style="140" customWidth="1"/>
    <col min="11528" max="11528" width="14" style="140" customWidth="1"/>
    <col min="11529" max="11529" width="2.140625" style="140" customWidth="1"/>
    <col min="11530" max="11530" width="15.42578125" style="140" customWidth="1"/>
    <col min="11531" max="11776" width="9.140625" style="140"/>
    <col min="11777" max="11777" width="13.85546875" style="140" customWidth="1"/>
    <col min="11778" max="11778" width="2.140625" style="140" customWidth="1"/>
    <col min="11779" max="11779" width="23.5703125" style="140" customWidth="1"/>
    <col min="11780" max="11780" width="26.85546875" style="140" customWidth="1"/>
    <col min="11781" max="11781" width="16.140625" style="140" customWidth="1"/>
    <col min="11782" max="11782" width="15.42578125" style="140" customWidth="1"/>
    <col min="11783" max="11783" width="2.140625" style="140" customWidth="1"/>
    <col min="11784" max="11784" width="14" style="140" customWidth="1"/>
    <col min="11785" max="11785" width="2.140625" style="140" customWidth="1"/>
    <col min="11786" max="11786" width="15.42578125" style="140" customWidth="1"/>
    <col min="11787" max="12032" width="9.140625" style="140"/>
    <col min="12033" max="12033" width="13.85546875" style="140" customWidth="1"/>
    <col min="12034" max="12034" width="2.140625" style="140" customWidth="1"/>
    <col min="12035" max="12035" width="23.5703125" style="140" customWidth="1"/>
    <col min="12036" max="12036" width="26.85546875" style="140" customWidth="1"/>
    <col min="12037" max="12037" width="16.140625" style="140" customWidth="1"/>
    <col min="12038" max="12038" width="15.42578125" style="140" customWidth="1"/>
    <col min="12039" max="12039" width="2.140625" style="140" customWidth="1"/>
    <col min="12040" max="12040" width="14" style="140" customWidth="1"/>
    <col min="12041" max="12041" width="2.140625" style="140" customWidth="1"/>
    <col min="12042" max="12042" width="15.42578125" style="140" customWidth="1"/>
    <col min="12043" max="12288" width="9.140625" style="140"/>
    <col min="12289" max="12289" width="13.85546875" style="140" customWidth="1"/>
    <col min="12290" max="12290" width="2.140625" style="140" customWidth="1"/>
    <col min="12291" max="12291" width="23.5703125" style="140" customWidth="1"/>
    <col min="12292" max="12292" width="26.85546875" style="140" customWidth="1"/>
    <col min="12293" max="12293" width="16.140625" style="140" customWidth="1"/>
    <col min="12294" max="12294" width="15.42578125" style="140" customWidth="1"/>
    <col min="12295" max="12295" width="2.140625" style="140" customWidth="1"/>
    <col min="12296" max="12296" width="14" style="140" customWidth="1"/>
    <col min="12297" max="12297" width="2.140625" style="140" customWidth="1"/>
    <col min="12298" max="12298" width="15.42578125" style="140" customWidth="1"/>
    <col min="12299" max="12544" width="9.140625" style="140"/>
    <col min="12545" max="12545" width="13.85546875" style="140" customWidth="1"/>
    <col min="12546" max="12546" width="2.140625" style="140" customWidth="1"/>
    <col min="12547" max="12547" width="23.5703125" style="140" customWidth="1"/>
    <col min="12548" max="12548" width="26.85546875" style="140" customWidth="1"/>
    <col min="12549" max="12549" width="16.140625" style="140" customWidth="1"/>
    <col min="12550" max="12550" width="15.42578125" style="140" customWidth="1"/>
    <col min="12551" max="12551" width="2.140625" style="140" customWidth="1"/>
    <col min="12552" max="12552" width="14" style="140" customWidth="1"/>
    <col min="12553" max="12553" width="2.140625" style="140" customWidth="1"/>
    <col min="12554" max="12554" width="15.42578125" style="140" customWidth="1"/>
    <col min="12555" max="12800" width="9.140625" style="140"/>
    <col min="12801" max="12801" width="13.85546875" style="140" customWidth="1"/>
    <col min="12802" max="12802" width="2.140625" style="140" customWidth="1"/>
    <col min="12803" max="12803" width="23.5703125" style="140" customWidth="1"/>
    <col min="12804" max="12804" width="26.85546875" style="140" customWidth="1"/>
    <col min="12805" max="12805" width="16.140625" style="140" customWidth="1"/>
    <col min="12806" max="12806" width="15.42578125" style="140" customWidth="1"/>
    <col min="12807" max="12807" width="2.140625" style="140" customWidth="1"/>
    <col min="12808" max="12808" width="14" style="140" customWidth="1"/>
    <col min="12809" max="12809" width="2.140625" style="140" customWidth="1"/>
    <col min="12810" max="12810" width="15.42578125" style="140" customWidth="1"/>
    <col min="12811" max="13056" width="9.140625" style="140"/>
    <col min="13057" max="13057" width="13.85546875" style="140" customWidth="1"/>
    <col min="13058" max="13058" width="2.140625" style="140" customWidth="1"/>
    <col min="13059" max="13059" width="23.5703125" style="140" customWidth="1"/>
    <col min="13060" max="13060" width="26.85546875" style="140" customWidth="1"/>
    <col min="13061" max="13061" width="16.140625" style="140" customWidth="1"/>
    <col min="13062" max="13062" width="15.42578125" style="140" customWidth="1"/>
    <col min="13063" max="13063" width="2.140625" style="140" customWidth="1"/>
    <col min="13064" max="13064" width="14" style="140" customWidth="1"/>
    <col min="13065" max="13065" width="2.140625" style="140" customWidth="1"/>
    <col min="13066" max="13066" width="15.42578125" style="140" customWidth="1"/>
    <col min="13067" max="13312" width="9.140625" style="140"/>
    <col min="13313" max="13313" width="13.85546875" style="140" customWidth="1"/>
    <col min="13314" max="13314" width="2.140625" style="140" customWidth="1"/>
    <col min="13315" max="13315" width="23.5703125" style="140" customWidth="1"/>
    <col min="13316" max="13316" width="26.85546875" style="140" customWidth="1"/>
    <col min="13317" max="13317" width="16.140625" style="140" customWidth="1"/>
    <col min="13318" max="13318" width="15.42578125" style="140" customWidth="1"/>
    <col min="13319" max="13319" width="2.140625" style="140" customWidth="1"/>
    <col min="13320" max="13320" width="14" style="140" customWidth="1"/>
    <col min="13321" max="13321" width="2.140625" style="140" customWidth="1"/>
    <col min="13322" max="13322" width="15.42578125" style="140" customWidth="1"/>
    <col min="13323" max="13568" width="9.140625" style="140"/>
    <col min="13569" max="13569" width="13.85546875" style="140" customWidth="1"/>
    <col min="13570" max="13570" width="2.140625" style="140" customWidth="1"/>
    <col min="13571" max="13571" width="23.5703125" style="140" customWidth="1"/>
    <col min="13572" max="13572" width="26.85546875" style="140" customWidth="1"/>
    <col min="13573" max="13573" width="16.140625" style="140" customWidth="1"/>
    <col min="13574" max="13574" width="15.42578125" style="140" customWidth="1"/>
    <col min="13575" max="13575" width="2.140625" style="140" customWidth="1"/>
    <col min="13576" max="13576" width="14" style="140" customWidth="1"/>
    <col min="13577" max="13577" width="2.140625" style="140" customWidth="1"/>
    <col min="13578" max="13578" width="15.42578125" style="140" customWidth="1"/>
    <col min="13579" max="13824" width="9.140625" style="140"/>
    <col min="13825" max="13825" width="13.85546875" style="140" customWidth="1"/>
    <col min="13826" max="13826" width="2.140625" style="140" customWidth="1"/>
    <col min="13827" max="13827" width="23.5703125" style="140" customWidth="1"/>
    <col min="13828" max="13828" width="26.85546875" style="140" customWidth="1"/>
    <col min="13829" max="13829" width="16.140625" style="140" customWidth="1"/>
    <col min="13830" max="13830" width="15.42578125" style="140" customWidth="1"/>
    <col min="13831" max="13831" width="2.140625" style="140" customWidth="1"/>
    <col min="13832" max="13832" width="14" style="140" customWidth="1"/>
    <col min="13833" max="13833" width="2.140625" style="140" customWidth="1"/>
    <col min="13834" max="13834" width="15.42578125" style="140" customWidth="1"/>
    <col min="13835" max="14080" width="9.140625" style="140"/>
    <col min="14081" max="14081" width="13.85546875" style="140" customWidth="1"/>
    <col min="14082" max="14082" width="2.140625" style="140" customWidth="1"/>
    <col min="14083" max="14083" width="23.5703125" style="140" customWidth="1"/>
    <col min="14084" max="14084" width="26.85546875" style="140" customWidth="1"/>
    <col min="14085" max="14085" width="16.140625" style="140" customWidth="1"/>
    <col min="14086" max="14086" width="15.42578125" style="140" customWidth="1"/>
    <col min="14087" max="14087" width="2.140625" style="140" customWidth="1"/>
    <col min="14088" max="14088" width="14" style="140" customWidth="1"/>
    <col min="14089" max="14089" width="2.140625" style="140" customWidth="1"/>
    <col min="14090" max="14090" width="15.42578125" style="140" customWidth="1"/>
    <col min="14091" max="14336" width="9.140625" style="140"/>
    <col min="14337" max="14337" width="13.85546875" style="140" customWidth="1"/>
    <col min="14338" max="14338" width="2.140625" style="140" customWidth="1"/>
    <col min="14339" max="14339" width="23.5703125" style="140" customWidth="1"/>
    <col min="14340" max="14340" width="26.85546875" style="140" customWidth="1"/>
    <col min="14341" max="14341" width="16.140625" style="140" customWidth="1"/>
    <col min="14342" max="14342" width="15.42578125" style="140" customWidth="1"/>
    <col min="14343" max="14343" width="2.140625" style="140" customWidth="1"/>
    <col min="14344" max="14344" width="14" style="140" customWidth="1"/>
    <col min="14345" max="14345" width="2.140625" style="140" customWidth="1"/>
    <col min="14346" max="14346" width="15.42578125" style="140" customWidth="1"/>
    <col min="14347" max="14592" width="9.140625" style="140"/>
    <col min="14593" max="14593" width="13.85546875" style="140" customWidth="1"/>
    <col min="14594" max="14594" width="2.140625" style="140" customWidth="1"/>
    <col min="14595" max="14595" width="23.5703125" style="140" customWidth="1"/>
    <col min="14596" max="14596" width="26.85546875" style="140" customWidth="1"/>
    <col min="14597" max="14597" width="16.140625" style="140" customWidth="1"/>
    <col min="14598" max="14598" width="15.42578125" style="140" customWidth="1"/>
    <col min="14599" max="14599" width="2.140625" style="140" customWidth="1"/>
    <col min="14600" max="14600" width="14" style="140" customWidth="1"/>
    <col min="14601" max="14601" width="2.140625" style="140" customWidth="1"/>
    <col min="14602" max="14602" width="15.42578125" style="140" customWidth="1"/>
    <col min="14603" max="14848" width="9.140625" style="140"/>
    <col min="14849" max="14849" width="13.85546875" style="140" customWidth="1"/>
    <col min="14850" max="14850" width="2.140625" style="140" customWidth="1"/>
    <col min="14851" max="14851" width="23.5703125" style="140" customWidth="1"/>
    <col min="14852" max="14852" width="26.85546875" style="140" customWidth="1"/>
    <col min="14853" max="14853" width="16.140625" style="140" customWidth="1"/>
    <col min="14854" max="14854" width="15.42578125" style="140" customWidth="1"/>
    <col min="14855" max="14855" width="2.140625" style="140" customWidth="1"/>
    <col min="14856" max="14856" width="14" style="140" customWidth="1"/>
    <col min="14857" max="14857" width="2.140625" style="140" customWidth="1"/>
    <col min="14858" max="14858" width="15.42578125" style="140" customWidth="1"/>
    <col min="14859" max="15104" width="9.140625" style="140"/>
    <col min="15105" max="15105" width="13.85546875" style="140" customWidth="1"/>
    <col min="15106" max="15106" width="2.140625" style="140" customWidth="1"/>
    <col min="15107" max="15107" width="23.5703125" style="140" customWidth="1"/>
    <col min="15108" max="15108" width="26.85546875" style="140" customWidth="1"/>
    <col min="15109" max="15109" width="16.140625" style="140" customWidth="1"/>
    <col min="15110" max="15110" width="15.42578125" style="140" customWidth="1"/>
    <col min="15111" max="15111" width="2.140625" style="140" customWidth="1"/>
    <col min="15112" max="15112" width="14" style="140" customWidth="1"/>
    <col min="15113" max="15113" width="2.140625" style="140" customWidth="1"/>
    <col min="15114" max="15114" width="15.42578125" style="140" customWidth="1"/>
    <col min="15115" max="15360" width="9.140625" style="140"/>
    <col min="15361" max="15361" width="13.85546875" style="140" customWidth="1"/>
    <col min="15362" max="15362" width="2.140625" style="140" customWidth="1"/>
    <col min="15363" max="15363" width="23.5703125" style="140" customWidth="1"/>
    <col min="15364" max="15364" width="26.85546875" style="140" customWidth="1"/>
    <col min="15365" max="15365" width="16.140625" style="140" customWidth="1"/>
    <col min="15366" max="15366" width="15.42578125" style="140" customWidth="1"/>
    <col min="15367" max="15367" width="2.140625" style="140" customWidth="1"/>
    <col min="15368" max="15368" width="14" style="140" customWidth="1"/>
    <col min="15369" max="15369" width="2.140625" style="140" customWidth="1"/>
    <col min="15370" max="15370" width="15.42578125" style="140" customWidth="1"/>
    <col min="15371" max="15616" width="9.140625" style="140"/>
    <col min="15617" max="15617" width="13.85546875" style="140" customWidth="1"/>
    <col min="15618" max="15618" width="2.140625" style="140" customWidth="1"/>
    <col min="15619" max="15619" width="23.5703125" style="140" customWidth="1"/>
    <col min="15620" max="15620" width="26.85546875" style="140" customWidth="1"/>
    <col min="15621" max="15621" width="16.140625" style="140" customWidth="1"/>
    <col min="15622" max="15622" width="15.42578125" style="140" customWidth="1"/>
    <col min="15623" max="15623" width="2.140625" style="140" customWidth="1"/>
    <col min="15624" max="15624" width="14" style="140" customWidth="1"/>
    <col min="15625" max="15625" width="2.140625" style="140" customWidth="1"/>
    <col min="15626" max="15626" width="15.42578125" style="140" customWidth="1"/>
    <col min="15627" max="15872" width="9.140625" style="140"/>
    <col min="15873" max="15873" width="13.85546875" style="140" customWidth="1"/>
    <col min="15874" max="15874" width="2.140625" style="140" customWidth="1"/>
    <col min="15875" max="15875" width="23.5703125" style="140" customWidth="1"/>
    <col min="15876" max="15876" width="26.85546875" style="140" customWidth="1"/>
    <col min="15877" max="15877" width="16.140625" style="140" customWidth="1"/>
    <col min="15878" max="15878" width="15.42578125" style="140" customWidth="1"/>
    <col min="15879" max="15879" width="2.140625" style="140" customWidth="1"/>
    <col min="15880" max="15880" width="14" style="140" customWidth="1"/>
    <col min="15881" max="15881" width="2.140625" style="140" customWidth="1"/>
    <col min="15882" max="15882" width="15.42578125" style="140" customWidth="1"/>
    <col min="15883" max="16128" width="9.140625" style="140"/>
    <col min="16129" max="16129" width="13.85546875" style="140" customWidth="1"/>
    <col min="16130" max="16130" width="2.140625" style="140" customWidth="1"/>
    <col min="16131" max="16131" width="23.5703125" style="140" customWidth="1"/>
    <col min="16132" max="16132" width="26.85546875" style="140" customWidth="1"/>
    <col min="16133" max="16133" width="16.140625" style="140" customWidth="1"/>
    <col min="16134" max="16134" width="15.42578125" style="140" customWidth="1"/>
    <col min="16135" max="16135" width="2.140625" style="140" customWidth="1"/>
    <col min="16136" max="16136" width="14" style="140" customWidth="1"/>
    <col min="16137" max="16137" width="2.140625" style="140" customWidth="1"/>
    <col min="16138" max="16138" width="15.42578125" style="140" customWidth="1"/>
    <col min="16139" max="16384" width="9.140625" style="140"/>
  </cols>
  <sheetData>
    <row r="1" spans="1:11" ht="20.100000000000001" customHeight="1" x14ac:dyDescent="0.2">
      <c r="A1" s="142" t="s">
        <v>1424</v>
      </c>
      <c r="J1" s="94" t="s">
        <v>1736</v>
      </c>
    </row>
    <row r="2" spans="1:11" ht="23.1" customHeight="1" x14ac:dyDescent="0.2">
      <c r="A2" s="20" t="s">
        <v>55</v>
      </c>
      <c r="B2" s="20" t="s">
        <v>56</v>
      </c>
      <c r="E2" s="21" t="s">
        <v>57</v>
      </c>
      <c r="F2" s="21" t="s">
        <v>58</v>
      </c>
      <c r="H2" s="21" t="s">
        <v>59</v>
      </c>
      <c r="J2" s="21" t="s">
        <v>60</v>
      </c>
    </row>
    <row r="3" spans="1:11" ht="15.95" customHeight="1" x14ac:dyDescent="0.2">
      <c r="A3" s="139">
        <v>1</v>
      </c>
      <c r="B3" s="480" t="s">
        <v>62</v>
      </c>
      <c r="C3" s="476"/>
      <c r="D3" s="476"/>
      <c r="E3" s="155">
        <v>314364585.81999999</v>
      </c>
      <c r="F3" s="155">
        <v>130240444.76000001</v>
      </c>
      <c r="G3" s="22"/>
      <c r="H3" s="155">
        <v>133281647.70999999</v>
      </c>
      <c r="I3" s="22"/>
      <c r="J3" s="155">
        <v>311323382.87</v>
      </c>
      <c r="K3" s="22">
        <f>J3-E3</f>
        <v>-3041202.9499999881</v>
      </c>
    </row>
    <row r="4" spans="1:11" ht="15.95" customHeight="1" x14ac:dyDescent="0.2">
      <c r="A4" s="139">
        <v>11</v>
      </c>
      <c r="B4" s="480" t="s">
        <v>63</v>
      </c>
      <c r="C4" s="476"/>
      <c r="D4" s="476"/>
      <c r="E4" s="155">
        <v>9912329.9199999999</v>
      </c>
      <c r="F4" s="155">
        <v>129122804.56999999</v>
      </c>
      <c r="G4" s="22"/>
      <c r="H4" s="155">
        <v>121142713.13</v>
      </c>
      <c r="I4" s="22"/>
      <c r="J4" s="155">
        <v>17892421.359999999</v>
      </c>
      <c r="K4" s="22">
        <f t="shared" ref="K4:K67" si="0">J4-E4</f>
        <v>7980091.4399999995</v>
      </c>
    </row>
    <row r="5" spans="1:11" ht="15.95" customHeight="1" x14ac:dyDescent="0.2">
      <c r="A5" s="141">
        <v>111</v>
      </c>
      <c r="B5" s="481" t="s">
        <v>64</v>
      </c>
      <c r="C5" s="482"/>
      <c r="D5" s="482"/>
      <c r="E5" s="156">
        <v>3326940.17</v>
      </c>
      <c r="F5" s="156">
        <v>73289752.010000005</v>
      </c>
      <c r="G5" s="25"/>
      <c r="H5" s="156">
        <v>66759542.990000002</v>
      </c>
      <c r="I5" s="25"/>
      <c r="J5" s="156">
        <v>9857149.1899999995</v>
      </c>
      <c r="K5" s="25">
        <f t="shared" si="0"/>
        <v>6530209.0199999996</v>
      </c>
    </row>
    <row r="6" spans="1:11" ht="15.95" customHeight="1" x14ac:dyDescent="0.2">
      <c r="A6" s="139">
        <v>11101</v>
      </c>
      <c r="B6" s="480" t="s">
        <v>65</v>
      </c>
      <c r="C6" s="476"/>
      <c r="D6" s="476"/>
      <c r="E6" s="155">
        <v>1599.31</v>
      </c>
      <c r="F6" s="155">
        <v>406556.62</v>
      </c>
      <c r="G6" s="22"/>
      <c r="H6" s="155">
        <v>407468.48</v>
      </c>
      <c r="I6" s="22"/>
      <c r="J6" s="155">
        <v>687.45</v>
      </c>
      <c r="K6" s="22">
        <f t="shared" si="0"/>
        <v>-911.8599999999999</v>
      </c>
    </row>
    <row r="7" spans="1:11" ht="15.95" customHeight="1" x14ac:dyDescent="0.2">
      <c r="A7" s="139">
        <v>1110101</v>
      </c>
      <c r="B7" s="480" t="s">
        <v>66</v>
      </c>
      <c r="C7" s="476"/>
      <c r="D7" s="476"/>
      <c r="E7" s="155">
        <v>1599.31</v>
      </c>
      <c r="F7" s="155">
        <v>406556.62</v>
      </c>
      <c r="G7" s="22"/>
      <c r="H7" s="155">
        <v>407468.48</v>
      </c>
      <c r="I7" s="22"/>
      <c r="J7" s="155">
        <v>687.45</v>
      </c>
      <c r="K7" s="22">
        <f t="shared" si="0"/>
        <v>-911.8599999999999</v>
      </c>
    </row>
    <row r="8" spans="1:11" ht="15.95" customHeight="1" x14ac:dyDescent="0.2">
      <c r="A8" s="139" t="s">
        <v>67</v>
      </c>
      <c r="B8" s="480" t="s">
        <v>68</v>
      </c>
      <c r="C8" s="476"/>
      <c r="D8" s="476"/>
      <c r="E8" s="155">
        <v>1599.31</v>
      </c>
      <c r="F8" s="155">
        <v>406556.62</v>
      </c>
      <c r="G8" s="22"/>
      <c r="H8" s="155">
        <v>407468.48</v>
      </c>
      <c r="I8" s="22"/>
      <c r="J8" s="155">
        <v>687.45</v>
      </c>
      <c r="K8" s="22">
        <f t="shared" si="0"/>
        <v>-911.8599999999999</v>
      </c>
    </row>
    <row r="9" spans="1:11" ht="15.95" customHeight="1" x14ac:dyDescent="0.2">
      <c r="A9" s="139">
        <v>11102</v>
      </c>
      <c r="B9" s="480" t="s">
        <v>69</v>
      </c>
      <c r="C9" s="476"/>
      <c r="D9" s="476"/>
      <c r="E9" s="155">
        <v>0</v>
      </c>
      <c r="F9" s="155">
        <v>26195.3</v>
      </c>
      <c r="G9" s="22"/>
      <c r="H9" s="155">
        <v>24185.88</v>
      </c>
      <c r="I9" s="22"/>
      <c r="J9" s="155">
        <v>2009.42</v>
      </c>
      <c r="K9" s="22">
        <f t="shared" si="0"/>
        <v>2009.42</v>
      </c>
    </row>
    <row r="10" spans="1:11" ht="15.95" customHeight="1" x14ac:dyDescent="0.2">
      <c r="A10" s="139">
        <v>1110204</v>
      </c>
      <c r="B10" s="480" t="s">
        <v>70</v>
      </c>
      <c r="C10" s="476"/>
      <c r="D10" s="476"/>
      <c r="E10" s="155">
        <v>0</v>
      </c>
      <c r="F10" s="155">
        <v>26195.3</v>
      </c>
      <c r="G10" s="22"/>
      <c r="H10" s="155">
        <v>24185.88</v>
      </c>
      <c r="I10" s="22"/>
      <c r="J10" s="155">
        <v>2009.42</v>
      </c>
      <c r="K10" s="22">
        <f t="shared" si="0"/>
        <v>2009.42</v>
      </c>
    </row>
    <row r="11" spans="1:11" ht="15.95" customHeight="1" x14ac:dyDescent="0.2">
      <c r="A11" s="139" t="s">
        <v>71</v>
      </c>
      <c r="B11" s="480" t="s">
        <v>72</v>
      </c>
      <c r="C11" s="476"/>
      <c r="D11" s="476"/>
      <c r="E11" s="155">
        <v>0</v>
      </c>
      <c r="F11" s="155">
        <v>6042.8</v>
      </c>
      <c r="G11" s="22"/>
      <c r="H11" s="155">
        <v>6042.8</v>
      </c>
      <c r="I11" s="22"/>
      <c r="J11" s="155">
        <v>0</v>
      </c>
      <c r="K11" s="22">
        <f t="shared" si="0"/>
        <v>0</v>
      </c>
    </row>
    <row r="12" spans="1:11" ht="15.95" customHeight="1" x14ac:dyDescent="0.2">
      <c r="A12" s="139" t="s">
        <v>73</v>
      </c>
      <c r="B12" s="480" t="s">
        <v>74</v>
      </c>
      <c r="C12" s="476"/>
      <c r="D12" s="476"/>
      <c r="E12" s="155">
        <v>0</v>
      </c>
      <c r="F12" s="155">
        <v>14102.36</v>
      </c>
      <c r="G12" s="22"/>
      <c r="H12" s="155">
        <v>12092.94</v>
      </c>
      <c r="I12" s="22"/>
      <c r="J12" s="155">
        <v>2009.42</v>
      </c>
      <c r="K12" s="22">
        <f t="shared" si="0"/>
        <v>2009.42</v>
      </c>
    </row>
    <row r="13" spans="1:11" ht="15.95" customHeight="1" x14ac:dyDescent="0.2">
      <c r="A13" s="139" t="s">
        <v>75</v>
      </c>
      <c r="B13" s="480" t="s">
        <v>76</v>
      </c>
      <c r="C13" s="476"/>
      <c r="D13" s="476"/>
      <c r="E13" s="155">
        <v>0</v>
      </c>
      <c r="F13" s="155">
        <v>6050.14</v>
      </c>
      <c r="G13" s="22"/>
      <c r="H13" s="155">
        <v>6050.14</v>
      </c>
      <c r="I13" s="22"/>
      <c r="J13" s="155">
        <v>0</v>
      </c>
      <c r="K13" s="22">
        <f t="shared" si="0"/>
        <v>0</v>
      </c>
    </row>
    <row r="14" spans="1:11" ht="15.95" customHeight="1" x14ac:dyDescent="0.2">
      <c r="A14" s="139">
        <v>11103</v>
      </c>
      <c r="B14" s="480" t="s">
        <v>77</v>
      </c>
      <c r="C14" s="476"/>
      <c r="D14" s="476"/>
      <c r="E14" s="155">
        <v>452766.94</v>
      </c>
      <c r="F14" s="155">
        <v>58951390.560000002</v>
      </c>
      <c r="G14" s="22"/>
      <c r="H14" s="155">
        <v>58234833.409999996</v>
      </c>
      <c r="I14" s="22"/>
      <c r="J14" s="155">
        <v>1169324.0900000001</v>
      </c>
      <c r="K14" s="22">
        <f t="shared" si="0"/>
        <v>716557.15000000014</v>
      </c>
    </row>
    <row r="15" spans="1:11" ht="15.95" customHeight="1" x14ac:dyDescent="0.2">
      <c r="A15" s="139">
        <v>1110301</v>
      </c>
      <c r="B15" s="480" t="s">
        <v>78</v>
      </c>
      <c r="C15" s="476"/>
      <c r="D15" s="476"/>
      <c r="E15" s="155">
        <v>452766.94</v>
      </c>
      <c r="F15" s="155">
        <v>58951390.560000002</v>
      </c>
      <c r="G15" s="22"/>
      <c r="H15" s="155">
        <v>58234833.409999996</v>
      </c>
      <c r="I15" s="22"/>
      <c r="J15" s="155">
        <v>1169324.0900000001</v>
      </c>
      <c r="K15" s="22">
        <f t="shared" si="0"/>
        <v>716557.15000000014</v>
      </c>
    </row>
    <row r="16" spans="1:11" ht="15.95" customHeight="1" x14ac:dyDescent="0.2">
      <c r="A16" s="139" t="s">
        <v>79</v>
      </c>
      <c r="B16" s="480" t="s">
        <v>80</v>
      </c>
      <c r="C16" s="476"/>
      <c r="D16" s="476"/>
      <c r="E16" s="155">
        <v>452766.94</v>
      </c>
      <c r="F16" s="155">
        <v>58951390.560000002</v>
      </c>
      <c r="G16" s="22"/>
      <c r="H16" s="155">
        <v>58234833.409999996</v>
      </c>
      <c r="I16" s="22"/>
      <c r="J16" s="155">
        <v>1169324.0900000001</v>
      </c>
      <c r="K16" s="22">
        <f t="shared" si="0"/>
        <v>716557.15000000014</v>
      </c>
    </row>
    <row r="17" spans="1:11" ht="15.95" customHeight="1" x14ac:dyDescent="0.2">
      <c r="A17" s="139">
        <v>11104</v>
      </c>
      <c r="B17" s="480" t="s">
        <v>81</v>
      </c>
      <c r="C17" s="476"/>
      <c r="D17" s="476"/>
      <c r="E17" s="155">
        <v>2659.77</v>
      </c>
      <c r="F17" s="155">
        <v>228000</v>
      </c>
      <c r="G17" s="22"/>
      <c r="H17" s="155">
        <v>230578.73</v>
      </c>
      <c r="I17" s="22"/>
      <c r="J17" s="155">
        <v>81.040000000000006</v>
      </c>
      <c r="K17" s="22">
        <f t="shared" si="0"/>
        <v>-2578.73</v>
      </c>
    </row>
    <row r="18" spans="1:11" ht="15.95" customHeight="1" x14ac:dyDescent="0.2">
      <c r="A18" s="139">
        <v>1110401</v>
      </c>
      <c r="B18" s="480" t="s">
        <v>82</v>
      </c>
      <c r="C18" s="476"/>
      <c r="D18" s="476"/>
      <c r="E18" s="155">
        <v>2659.77</v>
      </c>
      <c r="F18" s="155">
        <v>228000</v>
      </c>
      <c r="G18" s="22"/>
      <c r="H18" s="155">
        <v>230578.73</v>
      </c>
      <c r="I18" s="22"/>
      <c r="J18" s="155">
        <v>81.040000000000006</v>
      </c>
      <c r="K18" s="22">
        <f t="shared" si="0"/>
        <v>-2578.73</v>
      </c>
    </row>
    <row r="19" spans="1:11" ht="15.95" customHeight="1" x14ac:dyDescent="0.2">
      <c r="A19" s="139" t="s">
        <v>83</v>
      </c>
      <c r="B19" s="480" t="s">
        <v>84</v>
      </c>
      <c r="C19" s="476"/>
      <c r="D19" s="476"/>
      <c r="E19" s="155">
        <v>2659.77</v>
      </c>
      <c r="F19" s="155">
        <v>228000</v>
      </c>
      <c r="G19" s="22"/>
      <c r="H19" s="155">
        <v>230578.73</v>
      </c>
      <c r="I19" s="22"/>
      <c r="J19" s="155">
        <v>81.040000000000006</v>
      </c>
      <c r="K19" s="22">
        <f t="shared" si="0"/>
        <v>-2578.73</v>
      </c>
    </row>
    <row r="20" spans="1:11" ht="15.95" customHeight="1" x14ac:dyDescent="0.2">
      <c r="A20" s="139">
        <v>11105</v>
      </c>
      <c r="B20" s="480" t="s">
        <v>85</v>
      </c>
      <c r="C20" s="476"/>
      <c r="D20" s="476"/>
      <c r="E20" s="155">
        <v>771.18</v>
      </c>
      <c r="F20" s="155">
        <v>35.29</v>
      </c>
      <c r="G20" s="22"/>
      <c r="H20" s="155">
        <v>3.06</v>
      </c>
      <c r="I20" s="22"/>
      <c r="J20" s="155">
        <v>803.41</v>
      </c>
      <c r="K20" s="22">
        <f t="shared" si="0"/>
        <v>32.230000000000018</v>
      </c>
    </row>
    <row r="21" spans="1:11" ht="15.95" customHeight="1" x14ac:dyDescent="0.2">
      <c r="A21" s="139">
        <v>1110501</v>
      </c>
      <c r="B21" s="480" t="s">
        <v>78</v>
      </c>
      <c r="C21" s="476"/>
      <c r="D21" s="476"/>
      <c r="E21" s="155">
        <v>771.18</v>
      </c>
      <c r="F21" s="155">
        <v>35.29</v>
      </c>
      <c r="G21" s="22"/>
      <c r="H21" s="155">
        <v>3.06</v>
      </c>
      <c r="I21" s="22"/>
      <c r="J21" s="155">
        <v>803.41</v>
      </c>
      <c r="K21" s="22">
        <f t="shared" si="0"/>
        <v>32.230000000000018</v>
      </c>
    </row>
    <row r="22" spans="1:11" ht="15.95" customHeight="1" x14ac:dyDescent="0.2">
      <c r="A22" s="139" t="s">
        <v>86</v>
      </c>
      <c r="B22" s="480" t="s">
        <v>87</v>
      </c>
      <c r="C22" s="476"/>
      <c r="D22" s="476"/>
      <c r="E22" s="155">
        <v>300.26</v>
      </c>
      <c r="F22" s="155">
        <v>13.67</v>
      </c>
      <c r="G22" s="22"/>
      <c r="H22" s="155">
        <v>3.06</v>
      </c>
      <c r="I22" s="22"/>
      <c r="J22" s="155">
        <v>310.87</v>
      </c>
      <c r="K22" s="22">
        <f t="shared" si="0"/>
        <v>10.610000000000014</v>
      </c>
    </row>
    <row r="23" spans="1:11" ht="15.95" customHeight="1" x14ac:dyDescent="0.2">
      <c r="A23" s="139" t="s">
        <v>88</v>
      </c>
      <c r="B23" s="480" t="s">
        <v>89</v>
      </c>
      <c r="C23" s="476"/>
      <c r="D23" s="476"/>
      <c r="E23" s="155">
        <v>470.92</v>
      </c>
      <c r="F23" s="155">
        <v>21.62</v>
      </c>
      <c r="G23" s="22"/>
      <c r="H23" s="155">
        <v>0</v>
      </c>
      <c r="I23" s="22"/>
      <c r="J23" s="155">
        <v>492.54</v>
      </c>
      <c r="K23" s="22">
        <f t="shared" si="0"/>
        <v>21.620000000000005</v>
      </c>
    </row>
    <row r="24" spans="1:11" ht="15.95" customHeight="1" x14ac:dyDescent="0.2">
      <c r="A24" s="139">
        <v>11106</v>
      </c>
      <c r="B24" s="480" t="s">
        <v>90</v>
      </c>
      <c r="C24" s="476"/>
      <c r="D24" s="476"/>
      <c r="E24" s="155">
        <v>2869142.97</v>
      </c>
      <c r="F24" s="155">
        <v>13677574.24</v>
      </c>
      <c r="G24" s="22"/>
      <c r="H24" s="155">
        <v>7862473.4299999997</v>
      </c>
      <c r="I24" s="22"/>
      <c r="J24" s="155">
        <v>8684243.7799999993</v>
      </c>
      <c r="K24" s="22">
        <f t="shared" si="0"/>
        <v>5815100.8099999987</v>
      </c>
    </row>
    <row r="25" spans="1:11" ht="15.95" customHeight="1" x14ac:dyDescent="0.2">
      <c r="A25" s="139">
        <v>1110601</v>
      </c>
      <c r="B25" s="480" t="s">
        <v>78</v>
      </c>
      <c r="C25" s="476"/>
      <c r="D25" s="476"/>
      <c r="E25" s="155">
        <v>2869142.97</v>
      </c>
      <c r="F25" s="155">
        <v>13677574.24</v>
      </c>
      <c r="G25" s="22"/>
      <c r="H25" s="155">
        <v>7862473.4299999997</v>
      </c>
      <c r="I25" s="22"/>
      <c r="J25" s="155">
        <v>8684243.7799999993</v>
      </c>
      <c r="K25" s="22">
        <f t="shared" si="0"/>
        <v>5815100.8099999987</v>
      </c>
    </row>
    <row r="26" spans="1:11" ht="15.95" customHeight="1" x14ac:dyDescent="0.2">
      <c r="A26" s="139" t="s">
        <v>91</v>
      </c>
      <c r="B26" s="480" t="s">
        <v>92</v>
      </c>
      <c r="C26" s="476"/>
      <c r="D26" s="476"/>
      <c r="E26" s="155">
        <v>1452756.73</v>
      </c>
      <c r="F26" s="155">
        <v>13636304.59</v>
      </c>
      <c r="G26" s="22"/>
      <c r="H26" s="155">
        <v>7626757.71</v>
      </c>
      <c r="I26" s="22"/>
      <c r="J26" s="155">
        <v>7462303.6100000003</v>
      </c>
      <c r="K26" s="22">
        <f t="shared" si="0"/>
        <v>6009546.8800000008</v>
      </c>
    </row>
    <row r="27" spans="1:11" ht="15.95" customHeight="1" x14ac:dyDescent="0.2">
      <c r="A27" s="139" t="s">
        <v>93</v>
      </c>
      <c r="B27" s="480" t="s">
        <v>94</v>
      </c>
      <c r="C27" s="476"/>
      <c r="D27" s="476"/>
      <c r="E27" s="155">
        <v>1416386.24</v>
      </c>
      <c r="F27" s="155">
        <v>41269.65</v>
      </c>
      <c r="G27" s="22"/>
      <c r="H27" s="155">
        <v>235715.72</v>
      </c>
      <c r="I27" s="22"/>
      <c r="J27" s="155">
        <v>1221940.17</v>
      </c>
      <c r="K27" s="22">
        <f t="shared" si="0"/>
        <v>-194446.07000000007</v>
      </c>
    </row>
    <row r="28" spans="1:11" ht="15.95" customHeight="1" x14ac:dyDescent="0.2">
      <c r="A28" s="139">
        <v>112</v>
      </c>
      <c r="B28" s="480" t="s">
        <v>95</v>
      </c>
      <c r="C28" s="476"/>
      <c r="D28" s="476"/>
      <c r="E28" s="155">
        <v>5339136.25</v>
      </c>
      <c r="F28" s="155">
        <v>52124958.909999996</v>
      </c>
      <c r="G28" s="22"/>
      <c r="H28" s="155">
        <v>51549776.969999999</v>
      </c>
      <c r="I28" s="22"/>
      <c r="J28" s="155">
        <v>5914318.1900000004</v>
      </c>
      <c r="K28" s="22">
        <f t="shared" si="0"/>
        <v>575181.94000000041</v>
      </c>
    </row>
    <row r="29" spans="1:11" ht="15.95" customHeight="1" x14ac:dyDescent="0.2">
      <c r="A29" s="141">
        <v>11201</v>
      </c>
      <c r="B29" s="481" t="s">
        <v>96</v>
      </c>
      <c r="C29" s="482"/>
      <c r="D29" s="482"/>
      <c r="E29" s="156">
        <v>5003798.17</v>
      </c>
      <c r="F29" s="156">
        <v>50430823.670000002</v>
      </c>
      <c r="G29" s="25"/>
      <c r="H29" s="156">
        <v>50296140.140000001</v>
      </c>
      <c r="I29" s="25"/>
      <c r="J29" s="156">
        <v>5138481.7</v>
      </c>
      <c r="K29" s="25">
        <f t="shared" si="0"/>
        <v>134683.53000000026</v>
      </c>
    </row>
    <row r="30" spans="1:11" ht="15.95" customHeight="1" x14ac:dyDescent="0.2">
      <c r="A30" s="139">
        <v>1120101</v>
      </c>
      <c r="B30" s="480" t="s">
        <v>97</v>
      </c>
      <c r="C30" s="476"/>
      <c r="D30" s="476"/>
      <c r="E30" s="155">
        <v>4720845.2300000004</v>
      </c>
      <c r="F30" s="155">
        <v>50417821.490000002</v>
      </c>
      <c r="G30" s="22"/>
      <c r="H30" s="155">
        <v>50138776.539999999</v>
      </c>
      <c r="I30" s="22"/>
      <c r="J30" s="155">
        <v>4999890.18</v>
      </c>
      <c r="K30" s="22">
        <f t="shared" si="0"/>
        <v>279044.94999999925</v>
      </c>
    </row>
    <row r="31" spans="1:11" ht="15.95" customHeight="1" x14ac:dyDescent="0.2">
      <c r="A31" s="139" t="s">
        <v>98</v>
      </c>
      <c r="B31" s="480" t="s">
        <v>99</v>
      </c>
      <c r="C31" s="476"/>
      <c r="D31" s="476"/>
      <c r="E31" s="155">
        <v>4720845.2300000004</v>
      </c>
      <c r="F31" s="155">
        <v>50417821.490000002</v>
      </c>
      <c r="G31" s="22"/>
      <c r="H31" s="155">
        <v>50138776.539999999</v>
      </c>
      <c r="I31" s="22"/>
      <c r="J31" s="155">
        <v>4999890.18</v>
      </c>
      <c r="K31" s="22">
        <f t="shared" si="0"/>
        <v>279044.94999999925</v>
      </c>
    </row>
    <row r="32" spans="1:11" ht="15.95" customHeight="1" x14ac:dyDescent="0.2">
      <c r="A32" s="139">
        <v>1120102</v>
      </c>
      <c r="B32" s="480" t="s">
        <v>100</v>
      </c>
      <c r="C32" s="476"/>
      <c r="D32" s="476"/>
      <c r="E32" s="155">
        <v>282952.94</v>
      </c>
      <c r="F32" s="155">
        <v>13002.18</v>
      </c>
      <c r="G32" s="22"/>
      <c r="H32" s="155">
        <v>157363.6</v>
      </c>
      <c r="I32" s="22"/>
      <c r="J32" s="155">
        <v>138591.51999999999</v>
      </c>
      <c r="K32" s="22">
        <f t="shared" si="0"/>
        <v>-144361.42000000001</v>
      </c>
    </row>
    <row r="33" spans="1:11" ht="15.95" customHeight="1" x14ac:dyDescent="0.2">
      <c r="A33" s="139" t="s">
        <v>101</v>
      </c>
      <c r="B33" s="480" t="s">
        <v>102</v>
      </c>
      <c r="C33" s="476"/>
      <c r="D33" s="476"/>
      <c r="E33" s="155">
        <v>44032.56</v>
      </c>
      <c r="F33" s="155">
        <v>0</v>
      </c>
      <c r="G33" s="22"/>
      <c r="H33" s="155">
        <v>0</v>
      </c>
      <c r="I33" s="22"/>
      <c r="J33" s="155">
        <v>44032.56</v>
      </c>
      <c r="K33" s="22">
        <f t="shared" si="0"/>
        <v>0</v>
      </c>
    </row>
    <row r="34" spans="1:11" ht="15.95" customHeight="1" x14ac:dyDescent="0.2">
      <c r="A34" s="139" t="s">
        <v>103</v>
      </c>
      <c r="B34" s="480" t="s">
        <v>104</v>
      </c>
      <c r="C34" s="476"/>
      <c r="D34" s="476"/>
      <c r="E34" s="155">
        <v>4672.18</v>
      </c>
      <c r="F34" s="155">
        <v>0</v>
      </c>
      <c r="G34" s="22"/>
      <c r="H34" s="155">
        <v>0</v>
      </c>
      <c r="I34" s="22"/>
      <c r="J34" s="155">
        <v>4672.18</v>
      </c>
      <c r="K34" s="22">
        <f t="shared" si="0"/>
        <v>0</v>
      </c>
    </row>
    <row r="35" spans="1:11" ht="15.95" customHeight="1" x14ac:dyDescent="0.2">
      <c r="A35" s="139" t="s">
        <v>105</v>
      </c>
      <c r="B35" s="480" t="s">
        <v>106</v>
      </c>
      <c r="C35" s="476"/>
      <c r="D35" s="476"/>
      <c r="E35" s="155">
        <v>4858.7</v>
      </c>
      <c r="F35" s="155">
        <v>104.89</v>
      </c>
      <c r="G35" s="22"/>
      <c r="H35" s="155">
        <v>4963.59</v>
      </c>
      <c r="I35" s="22"/>
      <c r="J35" s="155">
        <v>0</v>
      </c>
      <c r="K35" s="22">
        <f t="shared" si="0"/>
        <v>-4858.7</v>
      </c>
    </row>
    <row r="36" spans="1:11" ht="15.95" customHeight="1" x14ac:dyDescent="0.2">
      <c r="A36" s="139" t="s">
        <v>1794</v>
      </c>
      <c r="B36" s="480" t="s">
        <v>1795</v>
      </c>
      <c r="C36" s="476"/>
      <c r="D36" s="476"/>
      <c r="E36" s="155">
        <v>10769.72</v>
      </c>
      <c r="F36" s="155">
        <v>0</v>
      </c>
      <c r="G36" s="22"/>
      <c r="H36" s="155">
        <v>10769.72</v>
      </c>
      <c r="I36" s="22"/>
      <c r="J36" s="155">
        <v>0</v>
      </c>
      <c r="K36" s="22">
        <f t="shared" si="0"/>
        <v>-10769.72</v>
      </c>
    </row>
    <row r="37" spans="1:11" ht="15.95" customHeight="1" x14ac:dyDescent="0.2">
      <c r="A37" s="139" t="s">
        <v>107</v>
      </c>
      <c r="B37" s="480" t="s">
        <v>108</v>
      </c>
      <c r="C37" s="476"/>
      <c r="D37" s="476"/>
      <c r="E37" s="155">
        <v>33243.24</v>
      </c>
      <c r="F37" s="155">
        <v>0</v>
      </c>
      <c r="G37" s="22"/>
      <c r="H37" s="155">
        <v>0</v>
      </c>
      <c r="I37" s="22"/>
      <c r="J37" s="155">
        <v>33243.24</v>
      </c>
      <c r="K37" s="22">
        <f t="shared" si="0"/>
        <v>0</v>
      </c>
    </row>
    <row r="38" spans="1:11" ht="15.95" customHeight="1" x14ac:dyDescent="0.2">
      <c r="A38" s="139" t="s">
        <v>109</v>
      </c>
      <c r="B38" s="480" t="s">
        <v>110</v>
      </c>
      <c r="C38" s="476"/>
      <c r="D38" s="476"/>
      <c r="E38" s="155">
        <v>43918.41</v>
      </c>
      <c r="F38" s="155">
        <v>0</v>
      </c>
      <c r="G38" s="22"/>
      <c r="H38" s="155">
        <v>43918.41</v>
      </c>
      <c r="I38" s="22"/>
      <c r="J38" s="155">
        <v>0</v>
      </c>
      <c r="K38" s="22">
        <f t="shared" si="0"/>
        <v>-43918.41</v>
      </c>
    </row>
    <row r="39" spans="1:11" ht="15.95" customHeight="1" x14ac:dyDescent="0.2">
      <c r="A39" s="139" t="s">
        <v>111</v>
      </c>
      <c r="B39" s="480" t="s">
        <v>112</v>
      </c>
      <c r="C39" s="476"/>
      <c r="D39" s="476"/>
      <c r="E39" s="155">
        <v>32410.799999999999</v>
      </c>
      <c r="F39" s="155">
        <v>0</v>
      </c>
      <c r="G39" s="22"/>
      <c r="H39" s="155">
        <v>0</v>
      </c>
      <c r="I39" s="22"/>
      <c r="J39" s="155">
        <v>32410.799999999999</v>
      </c>
      <c r="K39" s="22">
        <f t="shared" si="0"/>
        <v>0</v>
      </c>
    </row>
    <row r="40" spans="1:11" ht="15.95" customHeight="1" x14ac:dyDescent="0.2">
      <c r="A40" s="139" t="s">
        <v>113</v>
      </c>
      <c r="B40" s="480" t="s">
        <v>114</v>
      </c>
      <c r="C40" s="476"/>
      <c r="D40" s="476"/>
      <c r="E40" s="155">
        <v>109047.33</v>
      </c>
      <c r="F40" s="155">
        <v>12897.29</v>
      </c>
      <c r="G40" s="22"/>
      <c r="H40" s="155">
        <v>97711.88</v>
      </c>
      <c r="I40" s="22"/>
      <c r="J40" s="155">
        <v>24232.74</v>
      </c>
      <c r="K40" s="22">
        <f t="shared" si="0"/>
        <v>-84814.59</v>
      </c>
    </row>
    <row r="41" spans="1:11" ht="15.95" customHeight="1" x14ac:dyDescent="0.2">
      <c r="A41" s="141">
        <v>11202</v>
      </c>
      <c r="B41" s="481" t="s">
        <v>115</v>
      </c>
      <c r="C41" s="482"/>
      <c r="D41" s="482"/>
      <c r="E41" s="156">
        <v>-328283.25</v>
      </c>
      <c r="F41" s="156">
        <v>0</v>
      </c>
      <c r="G41" s="25"/>
      <c r="H41" s="156">
        <v>0</v>
      </c>
      <c r="I41" s="25"/>
      <c r="J41" s="156">
        <v>-328283.25</v>
      </c>
      <c r="K41" s="25">
        <f t="shared" si="0"/>
        <v>0</v>
      </c>
    </row>
    <row r="42" spans="1:11" ht="15.95" customHeight="1" x14ac:dyDescent="0.2">
      <c r="A42" s="139">
        <v>1120201</v>
      </c>
      <c r="B42" s="480" t="s">
        <v>116</v>
      </c>
      <c r="C42" s="476"/>
      <c r="D42" s="476"/>
      <c r="E42" s="155">
        <v>-328283.25</v>
      </c>
      <c r="F42" s="155">
        <v>0</v>
      </c>
      <c r="G42" s="22"/>
      <c r="H42" s="155">
        <v>0</v>
      </c>
      <c r="I42" s="22"/>
      <c r="J42" s="155">
        <v>-328283.25</v>
      </c>
      <c r="K42" s="22">
        <f t="shared" si="0"/>
        <v>0</v>
      </c>
    </row>
    <row r="43" spans="1:11" ht="15.95" customHeight="1" x14ac:dyDescent="0.2">
      <c r="A43" s="139" t="s">
        <v>117</v>
      </c>
      <c r="B43" s="480" t="s">
        <v>118</v>
      </c>
      <c r="C43" s="476"/>
      <c r="D43" s="476"/>
      <c r="E43" s="155">
        <v>-328283.25</v>
      </c>
      <c r="F43" s="155">
        <v>0</v>
      </c>
      <c r="G43" s="22"/>
      <c r="H43" s="155">
        <v>0</v>
      </c>
      <c r="I43" s="22"/>
      <c r="J43" s="155">
        <v>-328283.25</v>
      </c>
      <c r="K43" s="22">
        <f t="shared" si="0"/>
        <v>0</v>
      </c>
    </row>
    <row r="44" spans="1:11" ht="15.95" customHeight="1" x14ac:dyDescent="0.2">
      <c r="A44" s="141">
        <v>11204</v>
      </c>
      <c r="B44" s="481" t="s">
        <v>119</v>
      </c>
      <c r="C44" s="482"/>
      <c r="D44" s="482"/>
      <c r="E44" s="156">
        <v>116405.14</v>
      </c>
      <c r="F44" s="156">
        <v>365406.61</v>
      </c>
      <c r="G44" s="25"/>
      <c r="H44" s="156">
        <v>388354.25</v>
      </c>
      <c r="I44" s="25"/>
      <c r="J44" s="156">
        <v>93457.5</v>
      </c>
      <c r="K44" s="25">
        <f t="shared" si="0"/>
        <v>-22947.64</v>
      </c>
    </row>
    <row r="45" spans="1:11" ht="15.95" customHeight="1" x14ac:dyDescent="0.2">
      <c r="A45" s="139">
        <v>1120401</v>
      </c>
      <c r="B45" s="480" t="s">
        <v>120</v>
      </c>
      <c r="C45" s="476"/>
      <c r="D45" s="476"/>
      <c r="E45" s="155">
        <v>75020.070000000007</v>
      </c>
      <c r="F45" s="155">
        <v>163540</v>
      </c>
      <c r="G45" s="22"/>
      <c r="H45" s="155">
        <v>165886.26999999999</v>
      </c>
      <c r="I45" s="22"/>
      <c r="J45" s="155">
        <v>72673.8</v>
      </c>
      <c r="K45" s="22">
        <f t="shared" si="0"/>
        <v>-2346.2700000000041</v>
      </c>
    </row>
    <row r="46" spans="1:11" ht="15.95" customHeight="1" x14ac:dyDescent="0.2">
      <c r="A46" s="139" t="s">
        <v>121</v>
      </c>
      <c r="B46" s="480" t="s">
        <v>122</v>
      </c>
      <c r="C46" s="476"/>
      <c r="D46" s="476"/>
      <c r="E46" s="155">
        <v>75020.070000000007</v>
      </c>
      <c r="F46" s="155">
        <v>163540</v>
      </c>
      <c r="G46" s="22"/>
      <c r="H46" s="155">
        <v>165886.26999999999</v>
      </c>
      <c r="I46" s="22"/>
      <c r="J46" s="155">
        <v>72673.8</v>
      </c>
      <c r="K46" s="22">
        <f t="shared" si="0"/>
        <v>-2346.2700000000041</v>
      </c>
    </row>
    <row r="47" spans="1:11" ht="15.95" customHeight="1" x14ac:dyDescent="0.2">
      <c r="A47" s="139">
        <v>1120407</v>
      </c>
      <c r="B47" s="480" t="s">
        <v>123</v>
      </c>
      <c r="C47" s="476"/>
      <c r="D47" s="476"/>
      <c r="E47" s="155">
        <v>41385.07</v>
      </c>
      <c r="F47" s="155">
        <v>201866.61</v>
      </c>
      <c r="G47" s="22"/>
      <c r="H47" s="155">
        <v>222467.98</v>
      </c>
      <c r="I47" s="22"/>
      <c r="J47" s="155">
        <v>20783.7</v>
      </c>
      <c r="K47" s="22">
        <f t="shared" si="0"/>
        <v>-20601.37</v>
      </c>
    </row>
    <row r="48" spans="1:11" ht="15.95" customHeight="1" x14ac:dyDescent="0.2">
      <c r="A48" s="139" t="s">
        <v>124</v>
      </c>
      <c r="B48" s="480" t="s">
        <v>125</v>
      </c>
      <c r="C48" s="476"/>
      <c r="D48" s="476"/>
      <c r="E48" s="155">
        <v>41385.07</v>
      </c>
      <c r="F48" s="155">
        <v>201866.61</v>
      </c>
      <c r="G48" s="22"/>
      <c r="H48" s="155">
        <v>222467.98</v>
      </c>
      <c r="I48" s="22"/>
      <c r="J48" s="155">
        <v>20783.7</v>
      </c>
      <c r="K48" s="22">
        <f t="shared" si="0"/>
        <v>-20601.37</v>
      </c>
    </row>
    <row r="49" spans="1:11" ht="15.95" customHeight="1" x14ac:dyDescent="0.2">
      <c r="A49" s="139">
        <v>11205</v>
      </c>
      <c r="B49" s="480" t="s">
        <v>126</v>
      </c>
      <c r="C49" s="476"/>
      <c r="D49" s="476"/>
      <c r="E49" s="155">
        <v>547216.18999999994</v>
      </c>
      <c r="F49" s="155">
        <v>1328728.6299999999</v>
      </c>
      <c r="G49" s="22"/>
      <c r="H49" s="155">
        <v>865282.58</v>
      </c>
      <c r="I49" s="22"/>
      <c r="J49" s="155">
        <v>1010662.24</v>
      </c>
      <c r="K49" s="22">
        <f t="shared" si="0"/>
        <v>463446.05000000005</v>
      </c>
    </row>
    <row r="50" spans="1:11" ht="15.95" customHeight="1" x14ac:dyDescent="0.2">
      <c r="A50" s="141">
        <v>1120501</v>
      </c>
      <c r="B50" s="481" t="s">
        <v>127</v>
      </c>
      <c r="C50" s="482"/>
      <c r="D50" s="482"/>
      <c r="E50" s="156">
        <v>330229.2</v>
      </c>
      <c r="F50" s="156">
        <v>36236.239999999998</v>
      </c>
      <c r="G50" s="25"/>
      <c r="H50" s="156">
        <v>0</v>
      </c>
      <c r="I50" s="25"/>
      <c r="J50" s="156">
        <v>366465.44</v>
      </c>
      <c r="K50" s="25">
        <f t="shared" si="0"/>
        <v>36236.239999999991</v>
      </c>
    </row>
    <row r="51" spans="1:11" ht="15.95" customHeight="1" x14ac:dyDescent="0.2">
      <c r="A51" s="139" t="s">
        <v>128</v>
      </c>
      <c r="B51" s="480" t="s">
        <v>129</v>
      </c>
      <c r="C51" s="476"/>
      <c r="D51" s="476"/>
      <c r="E51" s="155">
        <v>81476.070000000007</v>
      </c>
      <c r="F51" s="155">
        <v>0</v>
      </c>
      <c r="G51" s="22"/>
      <c r="H51" s="155">
        <v>0</v>
      </c>
      <c r="I51" s="22"/>
      <c r="J51" s="155">
        <v>81476.070000000007</v>
      </c>
      <c r="K51" s="22">
        <f t="shared" si="0"/>
        <v>0</v>
      </c>
    </row>
    <row r="52" spans="1:11" ht="15.95" customHeight="1" x14ac:dyDescent="0.2">
      <c r="A52" s="139" t="s">
        <v>130</v>
      </c>
      <c r="B52" s="480" t="s">
        <v>131</v>
      </c>
      <c r="C52" s="476"/>
      <c r="D52" s="476"/>
      <c r="E52" s="155">
        <v>248753.13</v>
      </c>
      <c r="F52" s="155">
        <v>36236.239999999998</v>
      </c>
      <c r="G52" s="22"/>
      <c r="H52" s="155">
        <v>0</v>
      </c>
      <c r="I52" s="22"/>
      <c r="J52" s="155">
        <v>284989.37</v>
      </c>
      <c r="K52" s="22">
        <f t="shared" si="0"/>
        <v>36236.239999999991</v>
      </c>
    </row>
    <row r="53" spans="1:11" ht="15.95" customHeight="1" x14ac:dyDescent="0.2">
      <c r="A53" s="141">
        <v>1120502</v>
      </c>
      <c r="B53" s="481" t="s">
        <v>132</v>
      </c>
      <c r="C53" s="482"/>
      <c r="D53" s="482"/>
      <c r="E53" s="156">
        <v>175546.99</v>
      </c>
      <c r="F53" s="156">
        <v>1292492.3899999999</v>
      </c>
      <c r="G53" s="25"/>
      <c r="H53" s="156">
        <v>865282.58</v>
      </c>
      <c r="I53" s="25"/>
      <c r="J53" s="156">
        <v>602756.80000000005</v>
      </c>
      <c r="K53" s="25">
        <f t="shared" si="0"/>
        <v>427209.81000000006</v>
      </c>
    </row>
    <row r="54" spans="1:11" ht="15.95" customHeight="1" x14ac:dyDescent="0.2">
      <c r="A54" s="139" t="s">
        <v>133</v>
      </c>
      <c r="B54" s="480" t="s">
        <v>134</v>
      </c>
      <c r="C54" s="476"/>
      <c r="D54" s="476"/>
      <c r="E54" s="155">
        <v>5019.84</v>
      </c>
      <c r="F54" s="155">
        <v>12730.3</v>
      </c>
      <c r="G54" s="22"/>
      <c r="H54" s="155">
        <v>1025.73</v>
      </c>
      <c r="I54" s="22"/>
      <c r="J54" s="155">
        <v>16724.41</v>
      </c>
      <c r="K54" s="22">
        <f t="shared" si="0"/>
        <v>11704.57</v>
      </c>
    </row>
    <row r="55" spans="1:11" ht="15.95" customHeight="1" x14ac:dyDescent="0.2">
      <c r="A55" s="139" t="s">
        <v>135</v>
      </c>
      <c r="B55" s="480" t="s">
        <v>136</v>
      </c>
      <c r="C55" s="476"/>
      <c r="D55" s="476"/>
      <c r="E55" s="155">
        <v>170527.15</v>
      </c>
      <c r="F55" s="155">
        <v>227713.37</v>
      </c>
      <c r="G55" s="22"/>
      <c r="H55" s="155">
        <v>327550.07</v>
      </c>
      <c r="I55" s="22"/>
      <c r="J55" s="155">
        <v>70690.45</v>
      </c>
      <c r="K55" s="22">
        <f t="shared" si="0"/>
        <v>-99836.7</v>
      </c>
    </row>
    <row r="56" spans="1:11" ht="27.95" customHeight="1" x14ac:dyDescent="0.2">
      <c r="A56" s="139" t="s">
        <v>137</v>
      </c>
      <c r="B56" s="480" t="s">
        <v>138</v>
      </c>
      <c r="C56" s="476"/>
      <c r="D56" s="476"/>
      <c r="E56" s="155">
        <v>0</v>
      </c>
      <c r="F56" s="155">
        <v>489662.01</v>
      </c>
      <c r="G56" s="22"/>
      <c r="H56" s="155">
        <v>489662.01</v>
      </c>
      <c r="I56" s="22"/>
      <c r="J56" s="155">
        <v>0</v>
      </c>
      <c r="K56" s="22">
        <f t="shared" si="0"/>
        <v>0</v>
      </c>
    </row>
    <row r="57" spans="1:11" ht="15.95" customHeight="1" x14ac:dyDescent="0.2">
      <c r="A57" s="139" t="s">
        <v>139</v>
      </c>
      <c r="B57" s="480" t="s">
        <v>140</v>
      </c>
      <c r="C57" s="476"/>
      <c r="D57" s="476"/>
      <c r="E57" s="155">
        <v>0</v>
      </c>
      <c r="F57" s="155">
        <v>511523.28</v>
      </c>
      <c r="G57" s="22"/>
      <c r="H57" s="155">
        <v>47044.77</v>
      </c>
      <c r="I57" s="22"/>
      <c r="J57" s="155">
        <v>464478.51</v>
      </c>
      <c r="K57" s="22">
        <f t="shared" si="0"/>
        <v>464478.51</v>
      </c>
    </row>
    <row r="58" spans="1:11" ht="15.95" customHeight="1" x14ac:dyDescent="0.2">
      <c r="A58" s="139" t="s">
        <v>141</v>
      </c>
      <c r="B58" s="480" t="s">
        <v>142</v>
      </c>
      <c r="C58" s="476"/>
      <c r="D58" s="476"/>
      <c r="E58" s="155">
        <v>0</v>
      </c>
      <c r="F58" s="155">
        <v>50863.43</v>
      </c>
      <c r="G58" s="22"/>
      <c r="H58" s="155">
        <v>0</v>
      </c>
      <c r="I58" s="22"/>
      <c r="J58" s="155">
        <v>50863.43</v>
      </c>
      <c r="K58" s="22">
        <f t="shared" si="0"/>
        <v>50863.43</v>
      </c>
    </row>
    <row r="59" spans="1:11" ht="15.95" customHeight="1" x14ac:dyDescent="0.2">
      <c r="A59" s="139">
        <v>1120503</v>
      </c>
      <c r="B59" s="480" t="s">
        <v>143</v>
      </c>
      <c r="C59" s="476"/>
      <c r="D59" s="476"/>
      <c r="E59" s="155">
        <v>41440</v>
      </c>
      <c r="F59" s="155">
        <v>0</v>
      </c>
      <c r="G59" s="22"/>
      <c r="H59" s="155">
        <v>0</v>
      </c>
      <c r="I59" s="22"/>
      <c r="J59" s="155">
        <v>41440</v>
      </c>
      <c r="K59" s="22">
        <f t="shared" si="0"/>
        <v>0</v>
      </c>
    </row>
    <row r="60" spans="1:11" ht="15.95" customHeight="1" x14ac:dyDescent="0.2">
      <c r="A60" s="139" t="s">
        <v>144</v>
      </c>
      <c r="B60" s="480" t="s">
        <v>145</v>
      </c>
      <c r="C60" s="476"/>
      <c r="D60" s="476"/>
      <c r="E60" s="155">
        <v>41440</v>
      </c>
      <c r="F60" s="155">
        <v>0</v>
      </c>
      <c r="G60" s="22"/>
      <c r="H60" s="155">
        <v>0</v>
      </c>
      <c r="I60" s="22"/>
      <c r="J60" s="155">
        <v>41440</v>
      </c>
      <c r="K60" s="22">
        <f t="shared" si="0"/>
        <v>0</v>
      </c>
    </row>
    <row r="61" spans="1:11" ht="15.95" customHeight="1" x14ac:dyDescent="0.2">
      <c r="A61" s="141">
        <v>113</v>
      </c>
      <c r="B61" s="481" t="s">
        <v>146</v>
      </c>
      <c r="C61" s="482"/>
      <c r="D61" s="482"/>
      <c r="E61" s="156">
        <v>958991.27</v>
      </c>
      <c r="F61" s="156">
        <v>3460402.39</v>
      </c>
      <c r="G61" s="25"/>
      <c r="H61" s="156">
        <v>2488600.9300000002</v>
      </c>
      <c r="I61" s="25"/>
      <c r="J61" s="156">
        <v>1930792.73</v>
      </c>
      <c r="K61" s="25">
        <f t="shared" si="0"/>
        <v>971801.46</v>
      </c>
    </row>
    <row r="62" spans="1:11" ht="15.95" customHeight="1" x14ac:dyDescent="0.2">
      <c r="A62" s="139">
        <v>11301</v>
      </c>
      <c r="B62" s="480" t="s">
        <v>146</v>
      </c>
      <c r="C62" s="476"/>
      <c r="D62" s="476"/>
      <c r="E62" s="155">
        <v>958991.27</v>
      </c>
      <c r="F62" s="155">
        <v>3460402.39</v>
      </c>
      <c r="G62" s="22"/>
      <c r="H62" s="155">
        <v>2488600.9300000002</v>
      </c>
      <c r="I62" s="22"/>
      <c r="J62" s="155">
        <v>1930792.73</v>
      </c>
      <c r="K62" s="22">
        <f t="shared" si="0"/>
        <v>971801.46</v>
      </c>
    </row>
    <row r="63" spans="1:11" ht="15.95" customHeight="1" x14ac:dyDescent="0.2">
      <c r="A63" s="139">
        <v>1130101</v>
      </c>
      <c r="B63" s="480" t="s">
        <v>147</v>
      </c>
      <c r="C63" s="476"/>
      <c r="D63" s="476"/>
      <c r="E63" s="155">
        <v>0</v>
      </c>
      <c r="F63" s="155">
        <v>1238496.21</v>
      </c>
      <c r="G63" s="22"/>
      <c r="H63" s="155">
        <v>466961.88</v>
      </c>
      <c r="I63" s="22"/>
      <c r="J63" s="155">
        <v>771534.33</v>
      </c>
      <c r="K63" s="22">
        <f t="shared" si="0"/>
        <v>771534.33</v>
      </c>
    </row>
    <row r="64" spans="1:11" ht="15.95" customHeight="1" x14ac:dyDescent="0.2">
      <c r="A64" s="139" t="s">
        <v>148</v>
      </c>
      <c r="B64" s="480" t="s">
        <v>149</v>
      </c>
      <c r="C64" s="476"/>
      <c r="D64" s="476"/>
      <c r="E64" s="155">
        <v>0</v>
      </c>
      <c r="F64" s="155">
        <v>614086.78</v>
      </c>
      <c r="G64" s="22"/>
      <c r="H64" s="155">
        <v>0</v>
      </c>
      <c r="I64" s="22"/>
      <c r="J64" s="155">
        <v>614086.78</v>
      </c>
      <c r="K64" s="22">
        <f t="shared" si="0"/>
        <v>614086.78</v>
      </c>
    </row>
    <row r="65" spans="1:11" ht="15.95" customHeight="1" x14ac:dyDescent="0.2">
      <c r="A65" s="139" t="s">
        <v>150</v>
      </c>
      <c r="B65" s="480" t="s">
        <v>151</v>
      </c>
      <c r="C65" s="476"/>
      <c r="D65" s="476"/>
      <c r="E65" s="155">
        <v>0</v>
      </c>
      <c r="F65" s="155">
        <v>29473.43</v>
      </c>
      <c r="G65" s="22"/>
      <c r="H65" s="155">
        <v>0</v>
      </c>
      <c r="I65" s="22"/>
      <c r="J65" s="155">
        <v>29473.43</v>
      </c>
      <c r="K65" s="22">
        <f t="shared" si="0"/>
        <v>29473.43</v>
      </c>
    </row>
    <row r="66" spans="1:11" ht="15.95" customHeight="1" x14ac:dyDescent="0.2">
      <c r="A66" s="139" t="s">
        <v>152</v>
      </c>
      <c r="B66" s="480" t="s">
        <v>153</v>
      </c>
      <c r="C66" s="476"/>
      <c r="D66" s="476"/>
      <c r="E66" s="155">
        <v>0</v>
      </c>
      <c r="F66" s="155">
        <v>39.39</v>
      </c>
      <c r="G66" s="22"/>
      <c r="H66" s="155">
        <v>0</v>
      </c>
      <c r="I66" s="22"/>
      <c r="J66" s="155">
        <v>39.39</v>
      </c>
      <c r="K66" s="22">
        <f t="shared" si="0"/>
        <v>39.39</v>
      </c>
    </row>
    <row r="67" spans="1:11" ht="15.95" customHeight="1" x14ac:dyDescent="0.2">
      <c r="A67" s="139" t="s">
        <v>154</v>
      </c>
      <c r="B67" s="480" t="s">
        <v>155</v>
      </c>
      <c r="C67" s="476"/>
      <c r="D67" s="476"/>
      <c r="E67" s="155">
        <v>0</v>
      </c>
      <c r="F67" s="155">
        <v>127934.73</v>
      </c>
      <c r="G67" s="22"/>
      <c r="H67" s="155">
        <v>0</v>
      </c>
      <c r="I67" s="22"/>
      <c r="J67" s="155">
        <v>127934.73</v>
      </c>
      <c r="K67" s="22">
        <f t="shared" si="0"/>
        <v>127934.73</v>
      </c>
    </row>
    <row r="68" spans="1:11" ht="15.95" customHeight="1" x14ac:dyDescent="0.2">
      <c r="A68" s="139" t="s">
        <v>156</v>
      </c>
      <c r="B68" s="480" t="s">
        <v>157</v>
      </c>
      <c r="C68" s="476"/>
      <c r="D68" s="476"/>
      <c r="E68" s="155">
        <v>0</v>
      </c>
      <c r="F68" s="155">
        <v>83157.62</v>
      </c>
      <c r="G68" s="22"/>
      <c r="H68" s="155">
        <v>83157.62</v>
      </c>
      <c r="I68" s="22"/>
      <c r="J68" s="155">
        <v>0</v>
      </c>
      <c r="K68" s="22">
        <f t="shared" ref="K68:K131" si="1">J68-E68</f>
        <v>0</v>
      </c>
    </row>
    <row r="69" spans="1:11" ht="15.95" customHeight="1" x14ac:dyDescent="0.2">
      <c r="A69" s="139" t="s">
        <v>158</v>
      </c>
      <c r="B69" s="480" t="s">
        <v>159</v>
      </c>
      <c r="C69" s="476"/>
      <c r="D69" s="476"/>
      <c r="E69" s="155">
        <v>0</v>
      </c>
      <c r="F69" s="155">
        <v>383804.26</v>
      </c>
      <c r="G69" s="22"/>
      <c r="H69" s="155">
        <v>383804.26</v>
      </c>
      <c r="I69" s="22"/>
      <c r="J69" s="155">
        <v>0</v>
      </c>
      <c r="K69" s="22">
        <f t="shared" si="1"/>
        <v>0</v>
      </c>
    </row>
    <row r="70" spans="1:11" ht="15.95" customHeight="1" x14ac:dyDescent="0.2">
      <c r="A70" s="139">
        <v>1130102</v>
      </c>
      <c r="B70" s="480" t="s">
        <v>160</v>
      </c>
      <c r="C70" s="476"/>
      <c r="D70" s="476"/>
      <c r="E70" s="155">
        <v>798390.41</v>
      </c>
      <c r="F70" s="155">
        <v>0</v>
      </c>
      <c r="G70" s="22"/>
      <c r="H70" s="155">
        <v>0</v>
      </c>
      <c r="I70" s="22"/>
      <c r="J70" s="155">
        <v>798390.41</v>
      </c>
      <c r="K70" s="22">
        <f t="shared" si="1"/>
        <v>0</v>
      </c>
    </row>
    <row r="71" spans="1:11" ht="15.95" customHeight="1" x14ac:dyDescent="0.2">
      <c r="A71" s="139" t="s">
        <v>161</v>
      </c>
      <c r="B71" s="480" t="s">
        <v>162</v>
      </c>
      <c r="C71" s="476"/>
      <c r="D71" s="476"/>
      <c r="E71" s="155">
        <v>798390.41</v>
      </c>
      <c r="F71" s="155">
        <v>0</v>
      </c>
      <c r="G71" s="22"/>
      <c r="H71" s="155">
        <v>0</v>
      </c>
      <c r="I71" s="22"/>
      <c r="J71" s="155">
        <v>798390.41</v>
      </c>
      <c r="K71" s="22">
        <f t="shared" si="1"/>
        <v>0</v>
      </c>
    </row>
    <row r="72" spans="1:11" ht="15.95" customHeight="1" x14ac:dyDescent="0.2">
      <c r="A72" s="139">
        <v>1130103</v>
      </c>
      <c r="B72" s="480" t="s">
        <v>163</v>
      </c>
      <c r="C72" s="476"/>
      <c r="D72" s="476"/>
      <c r="E72" s="155">
        <v>160600.85999999999</v>
      </c>
      <c r="F72" s="155">
        <v>0</v>
      </c>
      <c r="G72" s="22"/>
      <c r="H72" s="155">
        <v>0</v>
      </c>
      <c r="I72" s="22"/>
      <c r="J72" s="155">
        <v>160600.85999999999</v>
      </c>
      <c r="K72" s="22">
        <f t="shared" si="1"/>
        <v>0</v>
      </c>
    </row>
    <row r="73" spans="1:11" ht="15.95" customHeight="1" x14ac:dyDescent="0.2">
      <c r="A73" s="139" t="s">
        <v>164</v>
      </c>
      <c r="B73" s="480" t="s">
        <v>165</v>
      </c>
      <c r="C73" s="476"/>
      <c r="D73" s="476"/>
      <c r="E73" s="155">
        <v>160600.85999999999</v>
      </c>
      <c r="F73" s="155">
        <v>0</v>
      </c>
      <c r="G73" s="22"/>
      <c r="H73" s="155">
        <v>0</v>
      </c>
      <c r="I73" s="22"/>
      <c r="J73" s="155">
        <v>160600.85999999999</v>
      </c>
      <c r="K73" s="22">
        <f t="shared" si="1"/>
        <v>0</v>
      </c>
    </row>
    <row r="74" spans="1:11" ht="15.95" customHeight="1" x14ac:dyDescent="0.2">
      <c r="A74" s="139">
        <v>1130104</v>
      </c>
      <c r="B74" s="480" t="s">
        <v>166</v>
      </c>
      <c r="C74" s="476"/>
      <c r="D74" s="476"/>
      <c r="E74" s="155">
        <v>0</v>
      </c>
      <c r="F74" s="155">
        <v>2221906.1800000002</v>
      </c>
      <c r="G74" s="22"/>
      <c r="H74" s="155">
        <v>2021639.05</v>
      </c>
      <c r="I74" s="22"/>
      <c r="J74" s="155">
        <v>200267.13</v>
      </c>
      <c r="K74" s="22">
        <f t="shared" si="1"/>
        <v>200267.13</v>
      </c>
    </row>
    <row r="75" spans="1:11" ht="15.95" customHeight="1" x14ac:dyDescent="0.2">
      <c r="A75" s="139" t="s">
        <v>167</v>
      </c>
      <c r="B75" s="480" t="s">
        <v>168</v>
      </c>
      <c r="C75" s="476"/>
      <c r="D75" s="476"/>
      <c r="E75" s="155">
        <v>0</v>
      </c>
      <c r="F75" s="155">
        <v>1997947.86</v>
      </c>
      <c r="G75" s="22"/>
      <c r="H75" s="155">
        <v>1798785.7</v>
      </c>
      <c r="I75" s="22"/>
      <c r="J75" s="155">
        <v>199162.16</v>
      </c>
      <c r="K75" s="22">
        <f t="shared" si="1"/>
        <v>199162.16</v>
      </c>
    </row>
    <row r="76" spans="1:11" ht="15.95" customHeight="1" x14ac:dyDescent="0.2">
      <c r="A76" s="139" t="s">
        <v>169</v>
      </c>
      <c r="B76" s="480" t="s">
        <v>170</v>
      </c>
      <c r="C76" s="476"/>
      <c r="D76" s="476"/>
      <c r="E76" s="155">
        <v>0</v>
      </c>
      <c r="F76" s="155">
        <v>205803.66</v>
      </c>
      <c r="G76" s="22"/>
      <c r="H76" s="155">
        <v>204698.69</v>
      </c>
      <c r="I76" s="22"/>
      <c r="J76" s="155">
        <v>1104.97</v>
      </c>
      <c r="K76" s="22">
        <f t="shared" si="1"/>
        <v>1104.97</v>
      </c>
    </row>
    <row r="77" spans="1:11" ht="15.95" customHeight="1" x14ac:dyDescent="0.2">
      <c r="A77" s="139" t="s">
        <v>171</v>
      </c>
      <c r="B77" s="480" t="s">
        <v>172</v>
      </c>
      <c r="C77" s="476"/>
      <c r="D77" s="476"/>
      <c r="E77" s="155">
        <v>0</v>
      </c>
      <c r="F77" s="155">
        <v>18154.66</v>
      </c>
      <c r="G77" s="22"/>
      <c r="H77" s="155">
        <v>18154.66</v>
      </c>
      <c r="I77" s="22"/>
      <c r="J77" s="155">
        <v>0</v>
      </c>
      <c r="K77" s="22">
        <f t="shared" si="1"/>
        <v>0</v>
      </c>
    </row>
    <row r="78" spans="1:11" ht="15.95" customHeight="1" x14ac:dyDescent="0.2">
      <c r="A78" s="141">
        <v>114</v>
      </c>
      <c r="B78" s="481" t="s">
        <v>173</v>
      </c>
      <c r="C78" s="482"/>
      <c r="D78" s="482"/>
      <c r="E78" s="156">
        <v>62095.26</v>
      </c>
      <c r="F78" s="156">
        <v>63824.26</v>
      </c>
      <c r="G78" s="25"/>
      <c r="H78" s="156">
        <v>71606.45</v>
      </c>
      <c r="I78" s="25"/>
      <c r="J78" s="156">
        <v>54313.07</v>
      </c>
      <c r="K78" s="25">
        <f t="shared" si="1"/>
        <v>-7782.1900000000023</v>
      </c>
    </row>
    <row r="79" spans="1:11" ht="15.95" customHeight="1" x14ac:dyDescent="0.2">
      <c r="A79" s="139">
        <v>11401</v>
      </c>
      <c r="B79" s="480" t="s">
        <v>174</v>
      </c>
      <c r="C79" s="476"/>
      <c r="D79" s="476"/>
      <c r="E79" s="155">
        <v>62095.26</v>
      </c>
      <c r="F79" s="155">
        <v>63824.26</v>
      </c>
      <c r="G79" s="22"/>
      <c r="H79" s="155">
        <v>71606.45</v>
      </c>
      <c r="I79" s="22"/>
      <c r="J79" s="155">
        <v>54313.07</v>
      </c>
      <c r="K79" s="22">
        <f t="shared" si="1"/>
        <v>-7782.1900000000023</v>
      </c>
    </row>
    <row r="80" spans="1:11" ht="15.95" customHeight="1" x14ac:dyDescent="0.2">
      <c r="A80" s="139">
        <v>1140101</v>
      </c>
      <c r="B80" s="480" t="s">
        <v>175</v>
      </c>
      <c r="C80" s="476"/>
      <c r="D80" s="476"/>
      <c r="E80" s="155">
        <v>8062.65</v>
      </c>
      <c r="F80" s="155">
        <v>0</v>
      </c>
      <c r="G80" s="22"/>
      <c r="H80" s="155">
        <v>9.4499999999999993</v>
      </c>
      <c r="I80" s="22"/>
      <c r="J80" s="155">
        <v>8053.2</v>
      </c>
      <c r="K80" s="22">
        <f t="shared" si="1"/>
        <v>-9.4499999999998181</v>
      </c>
    </row>
    <row r="81" spans="1:11" ht="15.95" customHeight="1" x14ac:dyDescent="0.2">
      <c r="A81" s="139" t="s">
        <v>176</v>
      </c>
      <c r="B81" s="480" t="s">
        <v>177</v>
      </c>
      <c r="C81" s="476"/>
      <c r="D81" s="476"/>
      <c r="E81" s="155">
        <v>2400</v>
      </c>
      <c r="F81" s="155">
        <v>0</v>
      </c>
      <c r="G81" s="22"/>
      <c r="H81" s="155">
        <v>0</v>
      </c>
      <c r="I81" s="22"/>
      <c r="J81" s="155">
        <v>2400</v>
      </c>
      <c r="K81" s="22">
        <f t="shared" si="1"/>
        <v>0</v>
      </c>
    </row>
    <row r="82" spans="1:11" ht="15.95" customHeight="1" x14ac:dyDescent="0.2">
      <c r="A82" s="139" t="s">
        <v>178</v>
      </c>
      <c r="B82" s="480" t="s">
        <v>179</v>
      </c>
      <c r="C82" s="476"/>
      <c r="D82" s="476"/>
      <c r="E82" s="155">
        <v>5662.65</v>
      </c>
      <c r="F82" s="155">
        <v>0</v>
      </c>
      <c r="G82" s="22"/>
      <c r="H82" s="155">
        <v>9.4499999999999993</v>
      </c>
      <c r="I82" s="22"/>
      <c r="J82" s="155">
        <v>5653.2</v>
      </c>
      <c r="K82" s="22">
        <f t="shared" si="1"/>
        <v>-9.4499999999998181</v>
      </c>
    </row>
    <row r="83" spans="1:11" ht="15.95" customHeight="1" x14ac:dyDescent="0.2">
      <c r="A83" s="139">
        <v>1140102</v>
      </c>
      <c r="B83" s="480" t="s">
        <v>180</v>
      </c>
      <c r="C83" s="476"/>
      <c r="D83" s="476"/>
      <c r="E83" s="155">
        <v>54032.61</v>
      </c>
      <c r="F83" s="155">
        <v>63824.26</v>
      </c>
      <c r="G83" s="22"/>
      <c r="H83" s="155">
        <v>71597</v>
      </c>
      <c r="I83" s="22"/>
      <c r="J83" s="155">
        <v>46259.87</v>
      </c>
      <c r="K83" s="22">
        <f t="shared" si="1"/>
        <v>-7772.739999999998</v>
      </c>
    </row>
    <row r="84" spans="1:11" ht="15.95" customHeight="1" x14ac:dyDescent="0.2">
      <c r="A84" s="139" t="s">
        <v>181</v>
      </c>
      <c r="B84" s="480" t="s">
        <v>182</v>
      </c>
      <c r="C84" s="476"/>
      <c r="D84" s="476"/>
      <c r="E84" s="155">
        <v>29148.080000000002</v>
      </c>
      <c r="F84" s="155">
        <v>18210.310000000001</v>
      </c>
      <c r="G84" s="22"/>
      <c r="H84" s="155">
        <v>22260.240000000002</v>
      </c>
      <c r="I84" s="22"/>
      <c r="J84" s="155">
        <v>25098.15</v>
      </c>
      <c r="K84" s="22">
        <f t="shared" si="1"/>
        <v>-4049.9300000000003</v>
      </c>
    </row>
    <row r="85" spans="1:11" ht="15.95" customHeight="1" x14ac:dyDescent="0.2">
      <c r="A85" s="139" t="s">
        <v>183</v>
      </c>
      <c r="B85" s="480" t="s">
        <v>184</v>
      </c>
      <c r="C85" s="476"/>
      <c r="D85" s="476"/>
      <c r="E85" s="155">
        <v>1987.3</v>
      </c>
      <c r="F85" s="155">
        <v>15333.15</v>
      </c>
      <c r="G85" s="22"/>
      <c r="H85" s="155">
        <v>17320.45</v>
      </c>
      <c r="I85" s="22"/>
      <c r="J85" s="155">
        <v>0</v>
      </c>
      <c r="K85" s="22">
        <f t="shared" si="1"/>
        <v>-1987.3</v>
      </c>
    </row>
    <row r="86" spans="1:11" ht="15.95" customHeight="1" x14ac:dyDescent="0.2">
      <c r="A86" s="139" t="s">
        <v>185</v>
      </c>
      <c r="B86" s="480" t="s">
        <v>186</v>
      </c>
      <c r="C86" s="476"/>
      <c r="D86" s="476"/>
      <c r="E86" s="155">
        <v>1559.1</v>
      </c>
      <c r="F86" s="155">
        <v>7562.8</v>
      </c>
      <c r="G86" s="22"/>
      <c r="H86" s="155">
        <v>4024.45</v>
      </c>
      <c r="I86" s="22"/>
      <c r="J86" s="155">
        <v>5097.45</v>
      </c>
      <c r="K86" s="22">
        <f t="shared" si="1"/>
        <v>3538.35</v>
      </c>
    </row>
    <row r="87" spans="1:11" ht="15.95" customHeight="1" x14ac:dyDescent="0.2">
      <c r="A87" s="139" t="s">
        <v>187</v>
      </c>
      <c r="B87" s="480" t="s">
        <v>188</v>
      </c>
      <c r="C87" s="476"/>
      <c r="D87" s="476"/>
      <c r="E87" s="155">
        <v>219.3</v>
      </c>
      <c r="F87" s="155">
        <v>2628</v>
      </c>
      <c r="G87" s="22"/>
      <c r="H87" s="155">
        <v>1971.24</v>
      </c>
      <c r="I87" s="22"/>
      <c r="J87" s="155">
        <v>876.06</v>
      </c>
      <c r="K87" s="22">
        <f t="shared" si="1"/>
        <v>656.76</v>
      </c>
    </row>
    <row r="88" spans="1:11" ht="15.95" customHeight="1" x14ac:dyDescent="0.2">
      <c r="A88" s="139" t="s">
        <v>189</v>
      </c>
      <c r="B88" s="480" t="s">
        <v>190</v>
      </c>
      <c r="C88" s="476"/>
      <c r="D88" s="476"/>
      <c r="E88" s="155">
        <v>7931.61</v>
      </c>
      <c r="F88" s="155">
        <v>6550</v>
      </c>
      <c r="G88" s="22"/>
      <c r="H88" s="155">
        <v>9170.92</v>
      </c>
      <c r="I88" s="22"/>
      <c r="J88" s="155">
        <v>5310.69</v>
      </c>
      <c r="K88" s="22">
        <f t="shared" si="1"/>
        <v>-2620.92</v>
      </c>
    </row>
    <row r="89" spans="1:11" ht="15.95" customHeight="1" x14ac:dyDescent="0.2">
      <c r="A89" s="139" t="s">
        <v>191</v>
      </c>
      <c r="B89" s="480" t="s">
        <v>192</v>
      </c>
      <c r="C89" s="476"/>
      <c r="D89" s="476"/>
      <c r="E89" s="155">
        <v>763.13</v>
      </c>
      <c r="F89" s="155">
        <v>12200</v>
      </c>
      <c r="G89" s="22"/>
      <c r="H89" s="155">
        <v>12241.69</v>
      </c>
      <c r="I89" s="22"/>
      <c r="J89" s="155">
        <v>721.44</v>
      </c>
      <c r="K89" s="22">
        <f t="shared" si="1"/>
        <v>-41.689999999999941</v>
      </c>
    </row>
    <row r="90" spans="1:11" ht="15.95" customHeight="1" x14ac:dyDescent="0.2">
      <c r="A90" s="139" t="s">
        <v>193</v>
      </c>
      <c r="B90" s="480" t="s">
        <v>194</v>
      </c>
      <c r="C90" s="476"/>
      <c r="D90" s="476"/>
      <c r="E90" s="155">
        <v>8309.81</v>
      </c>
      <c r="F90" s="155">
        <v>1340</v>
      </c>
      <c r="G90" s="22"/>
      <c r="H90" s="155">
        <v>2550.87</v>
      </c>
      <c r="I90" s="22"/>
      <c r="J90" s="155">
        <v>7098.94</v>
      </c>
      <c r="K90" s="22">
        <f t="shared" si="1"/>
        <v>-1210.8699999999999</v>
      </c>
    </row>
    <row r="91" spans="1:11" ht="15.95" customHeight="1" x14ac:dyDescent="0.2">
      <c r="A91" s="139" t="s">
        <v>195</v>
      </c>
      <c r="B91" s="480" t="s">
        <v>196</v>
      </c>
      <c r="C91" s="476"/>
      <c r="D91" s="476"/>
      <c r="E91" s="155">
        <v>4114.28</v>
      </c>
      <c r="F91" s="155">
        <v>0</v>
      </c>
      <c r="G91" s="22"/>
      <c r="H91" s="155">
        <v>2057.14</v>
      </c>
      <c r="I91" s="22"/>
      <c r="J91" s="155">
        <v>2057.14</v>
      </c>
      <c r="K91" s="22">
        <f t="shared" si="1"/>
        <v>-2057.14</v>
      </c>
    </row>
    <row r="92" spans="1:11" ht="15.95" customHeight="1" x14ac:dyDescent="0.2">
      <c r="A92" s="141">
        <v>117</v>
      </c>
      <c r="B92" s="481" t="s">
        <v>197</v>
      </c>
      <c r="C92" s="482"/>
      <c r="D92" s="482"/>
      <c r="E92" s="156">
        <v>225166.97</v>
      </c>
      <c r="F92" s="156">
        <v>183867</v>
      </c>
      <c r="G92" s="25"/>
      <c r="H92" s="156">
        <v>273185.78999999998</v>
      </c>
      <c r="I92" s="25"/>
      <c r="J92" s="156">
        <v>135848.18</v>
      </c>
      <c r="K92" s="25">
        <f t="shared" si="1"/>
        <v>-89318.790000000008</v>
      </c>
    </row>
    <row r="93" spans="1:11" ht="15.95" customHeight="1" x14ac:dyDescent="0.2">
      <c r="A93" s="139">
        <v>11701</v>
      </c>
      <c r="B93" s="480" t="s">
        <v>197</v>
      </c>
      <c r="C93" s="476"/>
      <c r="D93" s="476"/>
      <c r="E93" s="155">
        <v>225166.97</v>
      </c>
      <c r="F93" s="155">
        <v>183867</v>
      </c>
      <c r="G93" s="22"/>
      <c r="H93" s="155">
        <v>273185.78999999998</v>
      </c>
      <c r="I93" s="22"/>
      <c r="J93" s="155">
        <v>135848.18</v>
      </c>
      <c r="K93" s="22">
        <f t="shared" si="1"/>
        <v>-89318.790000000008</v>
      </c>
    </row>
    <row r="94" spans="1:11" ht="15.95" customHeight="1" x14ac:dyDescent="0.2">
      <c r="A94" s="139">
        <v>1170101</v>
      </c>
      <c r="B94" s="480" t="s">
        <v>198</v>
      </c>
      <c r="C94" s="476"/>
      <c r="D94" s="476"/>
      <c r="E94" s="155">
        <v>204192.07</v>
      </c>
      <c r="F94" s="155">
        <v>163997.75</v>
      </c>
      <c r="G94" s="22"/>
      <c r="H94" s="155">
        <v>243108.96</v>
      </c>
      <c r="I94" s="22"/>
      <c r="J94" s="155">
        <v>125080.86</v>
      </c>
      <c r="K94" s="22">
        <f t="shared" si="1"/>
        <v>-79111.210000000006</v>
      </c>
    </row>
    <row r="95" spans="1:11" ht="15.95" customHeight="1" x14ac:dyDescent="0.2">
      <c r="A95" s="139" t="s">
        <v>199</v>
      </c>
      <c r="B95" s="480" t="s">
        <v>200</v>
      </c>
      <c r="C95" s="476"/>
      <c r="D95" s="476"/>
      <c r="E95" s="155">
        <v>157490.66</v>
      </c>
      <c r="F95" s="155">
        <v>0</v>
      </c>
      <c r="G95" s="22"/>
      <c r="H95" s="155">
        <v>141741.63</v>
      </c>
      <c r="I95" s="22"/>
      <c r="J95" s="155">
        <v>15749.03</v>
      </c>
      <c r="K95" s="22">
        <f t="shared" si="1"/>
        <v>-141741.63</v>
      </c>
    </row>
    <row r="96" spans="1:11" ht="15.95" customHeight="1" x14ac:dyDescent="0.2">
      <c r="A96" s="139" t="s">
        <v>201</v>
      </c>
      <c r="B96" s="480" t="s">
        <v>202</v>
      </c>
      <c r="C96" s="476"/>
      <c r="D96" s="476"/>
      <c r="E96" s="155">
        <v>46701.41</v>
      </c>
      <c r="F96" s="155">
        <v>163997.75</v>
      </c>
      <c r="G96" s="22"/>
      <c r="H96" s="155">
        <v>101367.33</v>
      </c>
      <c r="I96" s="22"/>
      <c r="J96" s="155">
        <v>109331.83</v>
      </c>
      <c r="K96" s="22">
        <f t="shared" si="1"/>
        <v>62630.42</v>
      </c>
    </row>
    <row r="97" spans="1:11" ht="15.95" customHeight="1" x14ac:dyDescent="0.2">
      <c r="A97" s="139">
        <v>1170102</v>
      </c>
      <c r="B97" s="480" t="s">
        <v>203</v>
      </c>
      <c r="C97" s="476"/>
      <c r="D97" s="476"/>
      <c r="E97" s="155">
        <v>20974.9</v>
      </c>
      <c r="F97" s="155">
        <v>8700</v>
      </c>
      <c r="G97" s="22"/>
      <c r="H97" s="155">
        <v>21699.9</v>
      </c>
      <c r="I97" s="22"/>
      <c r="J97" s="155">
        <v>7975</v>
      </c>
      <c r="K97" s="22">
        <f t="shared" si="1"/>
        <v>-12999.900000000001</v>
      </c>
    </row>
    <row r="98" spans="1:11" ht="15.95" customHeight="1" x14ac:dyDescent="0.2">
      <c r="A98" s="139" t="s">
        <v>204</v>
      </c>
      <c r="B98" s="480" t="s">
        <v>205</v>
      </c>
      <c r="C98" s="476"/>
      <c r="D98" s="476"/>
      <c r="E98" s="155">
        <v>20974.9</v>
      </c>
      <c r="F98" s="155">
        <v>8700</v>
      </c>
      <c r="G98" s="22"/>
      <c r="H98" s="155">
        <v>21699.9</v>
      </c>
      <c r="I98" s="22"/>
      <c r="J98" s="155">
        <v>7975</v>
      </c>
      <c r="K98" s="22">
        <f t="shared" si="1"/>
        <v>-12999.900000000001</v>
      </c>
    </row>
    <row r="99" spans="1:11" ht="15.95" customHeight="1" x14ac:dyDescent="0.2">
      <c r="A99" s="139">
        <v>1170103</v>
      </c>
      <c r="B99" s="480" t="s">
        <v>206</v>
      </c>
      <c r="C99" s="476"/>
      <c r="D99" s="476"/>
      <c r="E99" s="155">
        <v>0</v>
      </c>
      <c r="F99" s="155">
        <v>11169.25</v>
      </c>
      <c r="G99" s="22"/>
      <c r="H99" s="155">
        <v>8376.93</v>
      </c>
      <c r="I99" s="22"/>
      <c r="J99" s="155">
        <v>2792.32</v>
      </c>
      <c r="K99" s="22">
        <f t="shared" si="1"/>
        <v>2792.32</v>
      </c>
    </row>
    <row r="100" spans="1:11" ht="15.95" customHeight="1" x14ac:dyDescent="0.2">
      <c r="A100" s="139" t="s">
        <v>207</v>
      </c>
      <c r="B100" s="480" t="s">
        <v>208</v>
      </c>
      <c r="C100" s="476"/>
      <c r="D100" s="476"/>
      <c r="E100" s="155">
        <v>0</v>
      </c>
      <c r="F100" s="155">
        <v>11169.25</v>
      </c>
      <c r="G100" s="22"/>
      <c r="H100" s="155">
        <v>8376.93</v>
      </c>
      <c r="I100" s="22"/>
      <c r="J100" s="155">
        <v>2792.32</v>
      </c>
      <c r="K100" s="22">
        <f t="shared" si="1"/>
        <v>2792.32</v>
      </c>
    </row>
    <row r="101" spans="1:11" ht="15.95" customHeight="1" x14ac:dyDescent="0.2">
      <c r="A101" s="139">
        <v>12</v>
      </c>
      <c r="B101" s="480" t="s">
        <v>209</v>
      </c>
      <c r="C101" s="476"/>
      <c r="D101" s="476"/>
      <c r="E101" s="155">
        <v>303215538.41000003</v>
      </c>
      <c r="F101" s="155">
        <v>1117640.19</v>
      </c>
      <c r="G101" s="22"/>
      <c r="H101" s="155">
        <v>12138934.58</v>
      </c>
      <c r="I101" s="22"/>
      <c r="J101" s="155">
        <v>292194244.01999998</v>
      </c>
      <c r="K101" s="22">
        <f t="shared" si="1"/>
        <v>-11021294.390000045</v>
      </c>
    </row>
    <row r="102" spans="1:11" ht="15.95" customHeight="1" x14ac:dyDescent="0.2">
      <c r="A102" s="139">
        <v>121</v>
      </c>
      <c r="B102" s="480" t="s">
        <v>210</v>
      </c>
      <c r="C102" s="476"/>
      <c r="D102" s="476"/>
      <c r="E102" s="155">
        <v>604732.11</v>
      </c>
      <c r="F102" s="155">
        <v>219702.17</v>
      </c>
      <c r="G102" s="22"/>
      <c r="H102" s="155">
        <v>91738.92</v>
      </c>
      <c r="I102" s="22"/>
      <c r="J102" s="155">
        <v>732695.36</v>
      </c>
      <c r="K102" s="22">
        <f t="shared" si="1"/>
        <v>127963.25</v>
      </c>
    </row>
    <row r="103" spans="1:11" ht="15.95" customHeight="1" x14ac:dyDescent="0.2">
      <c r="A103" s="141">
        <v>12101</v>
      </c>
      <c r="B103" s="481" t="s">
        <v>211</v>
      </c>
      <c r="C103" s="482"/>
      <c r="D103" s="482"/>
      <c r="E103" s="156">
        <v>531344.64000000001</v>
      </c>
      <c r="F103" s="156">
        <v>219702.17</v>
      </c>
      <c r="G103" s="25"/>
      <c r="H103" s="156">
        <v>91738.92</v>
      </c>
      <c r="I103" s="25"/>
      <c r="J103" s="156">
        <v>659307.89</v>
      </c>
      <c r="K103" s="25">
        <f t="shared" si="1"/>
        <v>127963.25</v>
      </c>
    </row>
    <row r="104" spans="1:11" ht="15.95" customHeight="1" x14ac:dyDescent="0.2">
      <c r="A104" s="139">
        <v>1210101</v>
      </c>
      <c r="B104" s="480" t="s">
        <v>212</v>
      </c>
      <c r="C104" s="476"/>
      <c r="D104" s="476"/>
      <c r="E104" s="155">
        <v>326962.06</v>
      </c>
      <c r="F104" s="155">
        <v>98998.02</v>
      </c>
      <c r="G104" s="22"/>
      <c r="H104" s="155">
        <v>0</v>
      </c>
      <c r="I104" s="22"/>
      <c r="J104" s="155">
        <v>425960.08</v>
      </c>
      <c r="K104" s="22">
        <f t="shared" si="1"/>
        <v>98998.020000000019</v>
      </c>
    </row>
    <row r="105" spans="1:11" ht="15.95" customHeight="1" x14ac:dyDescent="0.2">
      <c r="A105" s="139" t="s">
        <v>213</v>
      </c>
      <c r="B105" s="480" t="s">
        <v>214</v>
      </c>
      <c r="C105" s="476"/>
      <c r="D105" s="476"/>
      <c r="E105" s="155">
        <v>16601.04</v>
      </c>
      <c r="F105" s="155">
        <v>0</v>
      </c>
      <c r="G105" s="22"/>
      <c r="H105" s="155">
        <v>0</v>
      </c>
      <c r="I105" s="22"/>
      <c r="J105" s="155">
        <v>16601.04</v>
      </c>
      <c r="K105" s="22">
        <f t="shared" si="1"/>
        <v>0</v>
      </c>
    </row>
    <row r="106" spans="1:11" ht="15.95" customHeight="1" x14ac:dyDescent="0.2">
      <c r="A106" s="139" t="s">
        <v>215</v>
      </c>
      <c r="B106" s="480" t="s">
        <v>216</v>
      </c>
      <c r="C106" s="476"/>
      <c r="D106" s="476"/>
      <c r="E106" s="155">
        <v>8183.06</v>
      </c>
      <c r="F106" s="155">
        <v>0</v>
      </c>
      <c r="G106" s="22"/>
      <c r="H106" s="155">
        <v>0</v>
      </c>
      <c r="I106" s="22"/>
      <c r="J106" s="155">
        <v>8183.06</v>
      </c>
      <c r="K106" s="22">
        <f t="shared" si="1"/>
        <v>0</v>
      </c>
    </row>
    <row r="107" spans="1:11" ht="15.95" customHeight="1" x14ac:dyDescent="0.2">
      <c r="A107" s="139" t="s">
        <v>217</v>
      </c>
      <c r="B107" s="480" t="s">
        <v>218</v>
      </c>
      <c r="C107" s="476"/>
      <c r="D107" s="476"/>
      <c r="E107" s="155">
        <v>37499.11</v>
      </c>
      <c r="F107" s="155">
        <v>0</v>
      </c>
      <c r="G107" s="22"/>
      <c r="H107" s="155">
        <v>0</v>
      </c>
      <c r="I107" s="22"/>
      <c r="J107" s="155">
        <v>37499.11</v>
      </c>
      <c r="K107" s="22">
        <f t="shared" si="1"/>
        <v>0</v>
      </c>
    </row>
    <row r="108" spans="1:11" ht="15.95" customHeight="1" x14ac:dyDescent="0.2">
      <c r="A108" s="139" t="s">
        <v>219</v>
      </c>
      <c r="B108" s="480" t="s">
        <v>220</v>
      </c>
      <c r="C108" s="476"/>
      <c r="D108" s="476"/>
      <c r="E108" s="155">
        <v>30341.45</v>
      </c>
      <c r="F108" s="155">
        <v>19678.02</v>
      </c>
      <c r="G108" s="22"/>
      <c r="H108" s="155">
        <v>0</v>
      </c>
      <c r="I108" s="22"/>
      <c r="J108" s="155">
        <v>50019.47</v>
      </c>
      <c r="K108" s="22">
        <f t="shared" si="1"/>
        <v>19678.02</v>
      </c>
    </row>
    <row r="109" spans="1:11" ht="15.95" customHeight="1" x14ac:dyDescent="0.2">
      <c r="A109" s="139" t="s">
        <v>221</v>
      </c>
      <c r="B109" s="480" t="s">
        <v>222</v>
      </c>
      <c r="C109" s="476"/>
      <c r="D109" s="476"/>
      <c r="E109" s="155">
        <v>24689.43</v>
      </c>
      <c r="F109" s="155">
        <v>0</v>
      </c>
      <c r="G109" s="22"/>
      <c r="H109" s="155">
        <v>0</v>
      </c>
      <c r="I109" s="22"/>
      <c r="J109" s="155">
        <v>24689.43</v>
      </c>
      <c r="K109" s="22">
        <f t="shared" si="1"/>
        <v>0</v>
      </c>
    </row>
    <row r="110" spans="1:11" ht="27.95" customHeight="1" x14ac:dyDescent="0.2">
      <c r="A110" s="139" t="s">
        <v>223</v>
      </c>
      <c r="B110" s="480" t="s">
        <v>224</v>
      </c>
      <c r="C110" s="476"/>
      <c r="D110" s="476"/>
      <c r="E110" s="155">
        <v>3727.97</v>
      </c>
      <c r="F110" s="155">
        <v>0</v>
      </c>
      <c r="G110" s="22"/>
      <c r="H110" s="155">
        <v>0</v>
      </c>
      <c r="I110" s="22"/>
      <c r="J110" s="155">
        <v>3727.97</v>
      </c>
      <c r="K110" s="22">
        <f t="shared" si="1"/>
        <v>0</v>
      </c>
    </row>
    <row r="111" spans="1:11" ht="15.95" customHeight="1" x14ac:dyDescent="0.2">
      <c r="A111" s="139" t="s">
        <v>225</v>
      </c>
      <c r="B111" s="480" t="s">
        <v>226</v>
      </c>
      <c r="C111" s="476"/>
      <c r="D111" s="476"/>
      <c r="E111" s="155">
        <v>9189</v>
      </c>
      <c r="F111" s="155">
        <v>0</v>
      </c>
      <c r="G111" s="22"/>
      <c r="H111" s="155">
        <v>0</v>
      </c>
      <c r="I111" s="22"/>
      <c r="J111" s="155">
        <v>9189</v>
      </c>
      <c r="K111" s="22">
        <f t="shared" si="1"/>
        <v>0</v>
      </c>
    </row>
    <row r="112" spans="1:11" ht="15.95" customHeight="1" x14ac:dyDescent="0.2">
      <c r="A112" s="139" t="s">
        <v>227</v>
      </c>
      <c r="B112" s="480" t="s">
        <v>228</v>
      </c>
      <c r="C112" s="476"/>
      <c r="D112" s="476"/>
      <c r="E112" s="155">
        <v>38043.83</v>
      </c>
      <c r="F112" s="155">
        <v>0</v>
      </c>
      <c r="G112" s="22"/>
      <c r="H112" s="155">
        <v>0</v>
      </c>
      <c r="I112" s="22"/>
      <c r="J112" s="155">
        <v>38043.83</v>
      </c>
      <c r="K112" s="22">
        <f t="shared" si="1"/>
        <v>0</v>
      </c>
    </row>
    <row r="113" spans="1:11" ht="15.95" customHeight="1" x14ac:dyDescent="0.2">
      <c r="A113" s="139" t="s">
        <v>229</v>
      </c>
      <c r="B113" s="480" t="s">
        <v>230</v>
      </c>
      <c r="C113" s="476"/>
      <c r="D113" s="476"/>
      <c r="E113" s="155">
        <v>37728.480000000003</v>
      </c>
      <c r="F113" s="155">
        <v>0</v>
      </c>
      <c r="G113" s="22"/>
      <c r="H113" s="155">
        <v>0</v>
      </c>
      <c r="I113" s="22"/>
      <c r="J113" s="155">
        <v>37728.480000000003</v>
      </c>
      <c r="K113" s="22">
        <f t="shared" si="1"/>
        <v>0</v>
      </c>
    </row>
    <row r="114" spans="1:11" ht="15.95" customHeight="1" x14ac:dyDescent="0.2">
      <c r="A114" s="139" t="s">
        <v>231</v>
      </c>
      <c r="B114" s="480" t="s">
        <v>232</v>
      </c>
      <c r="C114" s="476"/>
      <c r="D114" s="476"/>
      <c r="E114" s="155">
        <v>6000</v>
      </c>
      <c r="F114" s="155">
        <v>0</v>
      </c>
      <c r="G114" s="22"/>
      <c r="H114" s="155">
        <v>0</v>
      </c>
      <c r="I114" s="22"/>
      <c r="J114" s="155">
        <v>6000</v>
      </c>
      <c r="K114" s="22">
        <f t="shared" si="1"/>
        <v>0</v>
      </c>
    </row>
    <row r="115" spans="1:11" ht="15.95" customHeight="1" x14ac:dyDescent="0.2">
      <c r="A115" s="139" t="s">
        <v>233</v>
      </c>
      <c r="B115" s="480" t="s">
        <v>234</v>
      </c>
      <c r="C115" s="476"/>
      <c r="D115" s="476"/>
      <c r="E115" s="155">
        <v>16175.6</v>
      </c>
      <c r="F115" s="155">
        <v>0</v>
      </c>
      <c r="G115" s="22"/>
      <c r="H115" s="155">
        <v>0</v>
      </c>
      <c r="I115" s="22"/>
      <c r="J115" s="155">
        <v>16175.6</v>
      </c>
      <c r="K115" s="22">
        <f t="shared" si="1"/>
        <v>0</v>
      </c>
    </row>
    <row r="116" spans="1:11" ht="15.95" customHeight="1" x14ac:dyDescent="0.2">
      <c r="A116" s="139" t="s">
        <v>235</v>
      </c>
      <c r="B116" s="480" t="s">
        <v>236</v>
      </c>
      <c r="C116" s="476"/>
      <c r="D116" s="476"/>
      <c r="E116" s="155">
        <v>9189</v>
      </c>
      <c r="F116" s="155">
        <v>19657.02</v>
      </c>
      <c r="G116" s="22"/>
      <c r="H116" s="155">
        <v>0</v>
      </c>
      <c r="I116" s="22"/>
      <c r="J116" s="155">
        <v>28846.02</v>
      </c>
      <c r="K116" s="22">
        <f t="shared" si="1"/>
        <v>19657.02</v>
      </c>
    </row>
    <row r="117" spans="1:11" ht="15.95" customHeight="1" x14ac:dyDescent="0.2">
      <c r="A117" s="139" t="s">
        <v>237</v>
      </c>
      <c r="B117" s="480" t="s">
        <v>238</v>
      </c>
      <c r="C117" s="476"/>
      <c r="D117" s="476"/>
      <c r="E117" s="155">
        <v>9189</v>
      </c>
      <c r="F117" s="155">
        <v>20118.3</v>
      </c>
      <c r="G117" s="22"/>
      <c r="H117" s="155">
        <v>0</v>
      </c>
      <c r="I117" s="22"/>
      <c r="J117" s="155">
        <v>29307.3</v>
      </c>
      <c r="K117" s="22">
        <f t="shared" si="1"/>
        <v>20118.3</v>
      </c>
    </row>
    <row r="118" spans="1:11" ht="15.95" customHeight="1" x14ac:dyDescent="0.2">
      <c r="A118" s="139" t="s">
        <v>239</v>
      </c>
      <c r="B118" s="480" t="s">
        <v>240</v>
      </c>
      <c r="C118" s="476"/>
      <c r="D118" s="476"/>
      <c r="E118" s="155">
        <v>10000</v>
      </c>
      <c r="F118" s="155">
        <v>0</v>
      </c>
      <c r="G118" s="22"/>
      <c r="H118" s="155">
        <v>0</v>
      </c>
      <c r="I118" s="22"/>
      <c r="J118" s="155">
        <v>10000</v>
      </c>
      <c r="K118" s="22">
        <f t="shared" si="1"/>
        <v>0</v>
      </c>
    </row>
    <row r="119" spans="1:11" ht="15.95" customHeight="1" x14ac:dyDescent="0.2">
      <c r="A119" s="139" t="s">
        <v>241</v>
      </c>
      <c r="B119" s="480" t="s">
        <v>242</v>
      </c>
      <c r="C119" s="476"/>
      <c r="D119" s="476"/>
      <c r="E119" s="155">
        <v>2236.2199999999998</v>
      </c>
      <c r="F119" s="155">
        <v>0</v>
      </c>
      <c r="G119" s="22"/>
      <c r="H119" s="155">
        <v>0</v>
      </c>
      <c r="I119" s="22"/>
      <c r="J119" s="155">
        <v>2236.2199999999998</v>
      </c>
      <c r="K119" s="22">
        <f t="shared" si="1"/>
        <v>0</v>
      </c>
    </row>
    <row r="120" spans="1:11" ht="15.95" customHeight="1" x14ac:dyDescent="0.2">
      <c r="A120" s="139" t="s">
        <v>243</v>
      </c>
      <c r="B120" s="480" t="s">
        <v>244</v>
      </c>
      <c r="C120" s="476"/>
      <c r="D120" s="476"/>
      <c r="E120" s="155">
        <v>9828.51</v>
      </c>
      <c r="F120" s="155">
        <v>0</v>
      </c>
      <c r="G120" s="22"/>
      <c r="H120" s="155">
        <v>0</v>
      </c>
      <c r="I120" s="22"/>
      <c r="J120" s="155">
        <v>9828.51</v>
      </c>
      <c r="K120" s="22">
        <f t="shared" si="1"/>
        <v>0</v>
      </c>
    </row>
    <row r="121" spans="1:11" ht="15.95" customHeight="1" x14ac:dyDescent="0.2">
      <c r="A121" s="139" t="s">
        <v>245</v>
      </c>
      <c r="B121" s="480" t="s">
        <v>246</v>
      </c>
      <c r="C121" s="476"/>
      <c r="D121" s="476"/>
      <c r="E121" s="155">
        <v>9513.16</v>
      </c>
      <c r="F121" s="155">
        <v>0</v>
      </c>
      <c r="G121" s="22"/>
      <c r="H121" s="155">
        <v>0</v>
      </c>
      <c r="I121" s="22"/>
      <c r="J121" s="155">
        <v>9513.16</v>
      </c>
      <c r="K121" s="22">
        <f t="shared" si="1"/>
        <v>0</v>
      </c>
    </row>
    <row r="122" spans="1:11" ht="15.95" customHeight="1" x14ac:dyDescent="0.2">
      <c r="A122" s="139" t="s">
        <v>247</v>
      </c>
      <c r="B122" s="480" t="s">
        <v>248</v>
      </c>
      <c r="C122" s="476"/>
      <c r="D122" s="476"/>
      <c r="E122" s="155">
        <v>9513.16</v>
      </c>
      <c r="F122" s="155">
        <v>29485.53</v>
      </c>
      <c r="G122" s="22"/>
      <c r="H122" s="155">
        <v>0</v>
      </c>
      <c r="I122" s="22"/>
      <c r="J122" s="155">
        <v>38998.69</v>
      </c>
      <c r="K122" s="22">
        <f t="shared" si="1"/>
        <v>29485.530000000002</v>
      </c>
    </row>
    <row r="123" spans="1:11" ht="15.95" customHeight="1" x14ac:dyDescent="0.2">
      <c r="A123" s="139" t="s">
        <v>249</v>
      </c>
      <c r="B123" s="480" t="s">
        <v>250</v>
      </c>
      <c r="C123" s="476"/>
      <c r="D123" s="476"/>
      <c r="E123" s="155">
        <v>29485.53</v>
      </c>
      <c r="F123" s="155">
        <v>0</v>
      </c>
      <c r="G123" s="22"/>
      <c r="H123" s="155">
        <v>0</v>
      </c>
      <c r="I123" s="22"/>
      <c r="J123" s="155">
        <v>29485.53</v>
      </c>
      <c r="K123" s="22">
        <f t="shared" si="1"/>
        <v>0</v>
      </c>
    </row>
    <row r="124" spans="1:11" ht="15.95" customHeight="1" x14ac:dyDescent="0.2">
      <c r="A124" s="139" t="s">
        <v>251</v>
      </c>
      <c r="B124" s="480" t="s">
        <v>252</v>
      </c>
      <c r="C124" s="476"/>
      <c r="D124" s="476"/>
      <c r="E124" s="155">
        <v>9828.51</v>
      </c>
      <c r="F124" s="155">
        <v>0</v>
      </c>
      <c r="G124" s="22"/>
      <c r="H124" s="155">
        <v>0</v>
      </c>
      <c r="I124" s="22"/>
      <c r="J124" s="155">
        <v>9828.51</v>
      </c>
      <c r="K124" s="22">
        <f t="shared" si="1"/>
        <v>0</v>
      </c>
    </row>
    <row r="125" spans="1:11" ht="15.95" customHeight="1" x14ac:dyDescent="0.2">
      <c r="A125" s="139" t="s">
        <v>1798</v>
      </c>
      <c r="B125" s="480" t="s">
        <v>1799</v>
      </c>
      <c r="C125" s="476"/>
      <c r="D125" s="476"/>
      <c r="E125" s="155">
        <v>0</v>
      </c>
      <c r="F125" s="155">
        <v>10059.15</v>
      </c>
      <c r="G125" s="22"/>
      <c r="H125" s="155">
        <v>0</v>
      </c>
      <c r="I125" s="22"/>
      <c r="J125" s="155">
        <v>10059.15</v>
      </c>
      <c r="K125" s="22">
        <f t="shared" si="1"/>
        <v>10059.15</v>
      </c>
    </row>
    <row r="126" spans="1:11" ht="15.95" customHeight="1" x14ac:dyDescent="0.2">
      <c r="A126" s="139">
        <v>1210102</v>
      </c>
      <c r="B126" s="480" t="s">
        <v>253</v>
      </c>
      <c r="C126" s="476"/>
      <c r="D126" s="476"/>
      <c r="E126" s="155">
        <v>204382.58</v>
      </c>
      <c r="F126" s="155">
        <v>26991.15</v>
      </c>
      <c r="G126" s="22"/>
      <c r="H126" s="155">
        <v>91738.92</v>
      </c>
      <c r="I126" s="22"/>
      <c r="J126" s="155">
        <v>139634.81</v>
      </c>
      <c r="K126" s="22">
        <f t="shared" si="1"/>
        <v>-64747.76999999999</v>
      </c>
    </row>
    <row r="127" spans="1:11" ht="15.95" customHeight="1" x14ac:dyDescent="0.2">
      <c r="A127" s="139" t="s">
        <v>254</v>
      </c>
      <c r="B127" s="480" t="s">
        <v>255</v>
      </c>
      <c r="C127" s="476"/>
      <c r="D127" s="476"/>
      <c r="E127" s="155">
        <v>83470.55</v>
      </c>
      <c r="F127" s="155">
        <v>0</v>
      </c>
      <c r="G127" s="22"/>
      <c r="H127" s="155">
        <v>0</v>
      </c>
      <c r="I127" s="22"/>
      <c r="J127" s="155">
        <v>83470.55</v>
      </c>
      <c r="K127" s="22">
        <f t="shared" si="1"/>
        <v>0</v>
      </c>
    </row>
    <row r="128" spans="1:11" ht="15.95" customHeight="1" x14ac:dyDescent="0.2">
      <c r="A128" s="139" t="s">
        <v>256</v>
      </c>
      <c r="B128" s="480" t="s">
        <v>257</v>
      </c>
      <c r="C128" s="476"/>
      <c r="D128" s="476"/>
      <c r="E128" s="155">
        <v>56164.26</v>
      </c>
      <c r="F128" s="155">
        <v>0</v>
      </c>
      <c r="G128" s="22"/>
      <c r="H128" s="155">
        <v>0</v>
      </c>
      <c r="I128" s="22"/>
      <c r="J128" s="155">
        <v>56164.26</v>
      </c>
      <c r="K128" s="22">
        <f t="shared" si="1"/>
        <v>0</v>
      </c>
    </row>
    <row r="129" spans="1:11" ht="15.95" customHeight="1" x14ac:dyDescent="0.2">
      <c r="A129" s="139" t="s">
        <v>258</v>
      </c>
      <c r="B129" s="480" t="s">
        <v>259</v>
      </c>
      <c r="C129" s="476"/>
      <c r="D129" s="476"/>
      <c r="E129" s="155">
        <v>5948.57</v>
      </c>
      <c r="F129" s="155">
        <v>26991.15</v>
      </c>
      <c r="G129" s="22"/>
      <c r="H129" s="155">
        <v>32939.72</v>
      </c>
      <c r="I129" s="22"/>
      <c r="J129" s="155">
        <v>0</v>
      </c>
      <c r="K129" s="22">
        <f t="shared" si="1"/>
        <v>-5948.57</v>
      </c>
    </row>
    <row r="130" spans="1:11" ht="15.95" customHeight="1" x14ac:dyDescent="0.2">
      <c r="A130" s="139" t="s">
        <v>260</v>
      </c>
      <c r="B130" s="480" t="s">
        <v>261</v>
      </c>
      <c r="C130" s="476"/>
      <c r="D130" s="476"/>
      <c r="E130" s="155">
        <v>2529.92</v>
      </c>
      <c r="F130" s="155">
        <v>0</v>
      </c>
      <c r="G130" s="22"/>
      <c r="H130" s="155">
        <v>2529.92</v>
      </c>
      <c r="I130" s="22"/>
      <c r="J130" s="155">
        <v>0</v>
      </c>
      <c r="K130" s="22">
        <f t="shared" si="1"/>
        <v>-2529.92</v>
      </c>
    </row>
    <row r="131" spans="1:11" ht="15.95" customHeight="1" x14ac:dyDescent="0.2">
      <c r="A131" s="139" t="s">
        <v>262</v>
      </c>
      <c r="B131" s="480" t="s">
        <v>263</v>
      </c>
      <c r="C131" s="476"/>
      <c r="D131" s="476"/>
      <c r="E131" s="155">
        <v>56269.279999999999</v>
      </c>
      <c r="F131" s="155">
        <v>0</v>
      </c>
      <c r="G131" s="22"/>
      <c r="H131" s="155">
        <v>56269.279999999999</v>
      </c>
      <c r="I131" s="22"/>
      <c r="J131" s="155">
        <v>0</v>
      </c>
      <c r="K131" s="22">
        <f t="shared" si="1"/>
        <v>-56269.279999999999</v>
      </c>
    </row>
    <row r="132" spans="1:11" ht="15.95" customHeight="1" x14ac:dyDescent="0.2">
      <c r="A132" s="139">
        <v>1210106</v>
      </c>
      <c r="B132" s="480" t="s">
        <v>264</v>
      </c>
      <c r="C132" s="476"/>
      <c r="D132" s="476"/>
      <c r="E132" s="155">
        <v>0</v>
      </c>
      <c r="F132" s="155">
        <v>93713</v>
      </c>
      <c r="G132" s="22"/>
      <c r="H132" s="155">
        <v>0</v>
      </c>
      <c r="I132" s="22"/>
      <c r="J132" s="155">
        <v>93713</v>
      </c>
      <c r="K132" s="22">
        <f t="shared" ref="K132:K195" si="2">J132-E132</f>
        <v>93713</v>
      </c>
    </row>
    <row r="133" spans="1:11" ht="15.95" customHeight="1" x14ac:dyDescent="0.2">
      <c r="A133" s="139" t="s">
        <v>265</v>
      </c>
      <c r="B133" s="480" t="s">
        <v>266</v>
      </c>
      <c r="C133" s="476"/>
      <c r="D133" s="476"/>
      <c r="E133" s="155">
        <v>0</v>
      </c>
      <c r="F133" s="155">
        <v>93713</v>
      </c>
      <c r="G133" s="22"/>
      <c r="H133" s="155">
        <v>0</v>
      </c>
      <c r="I133" s="22"/>
      <c r="J133" s="155">
        <v>93713</v>
      </c>
      <c r="K133" s="22">
        <f t="shared" si="2"/>
        <v>93713</v>
      </c>
    </row>
    <row r="134" spans="1:11" ht="15.95" customHeight="1" x14ac:dyDescent="0.2">
      <c r="A134" s="141">
        <v>12102</v>
      </c>
      <c r="B134" s="481" t="s">
        <v>96</v>
      </c>
      <c r="C134" s="482"/>
      <c r="D134" s="482"/>
      <c r="E134" s="156">
        <v>73387.47</v>
      </c>
      <c r="F134" s="156">
        <v>0</v>
      </c>
      <c r="G134" s="25"/>
      <c r="H134" s="156">
        <v>0</v>
      </c>
      <c r="I134" s="25"/>
      <c r="J134" s="156">
        <v>73387.47</v>
      </c>
      <c r="K134" s="25">
        <f t="shared" si="2"/>
        <v>0</v>
      </c>
    </row>
    <row r="135" spans="1:11" ht="15.95" customHeight="1" x14ac:dyDescent="0.2">
      <c r="A135" s="139">
        <v>1210201</v>
      </c>
      <c r="B135" s="480" t="s">
        <v>97</v>
      </c>
      <c r="C135" s="476"/>
      <c r="D135" s="476"/>
      <c r="E135" s="155">
        <v>73387.47</v>
      </c>
      <c r="F135" s="155">
        <v>0</v>
      </c>
      <c r="G135" s="22"/>
      <c r="H135" s="155">
        <v>0</v>
      </c>
      <c r="I135" s="22"/>
      <c r="J135" s="155">
        <v>73387.47</v>
      </c>
      <c r="K135" s="22">
        <f t="shared" si="2"/>
        <v>0</v>
      </c>
    </row>
    <row r="136" spans="1:11" ht="15.95" customHeight="1" x14ac:dyDescent="0.2">
      <c r="A136" s="139" t="s">
        <v>267</v>
      </c>
      <c r="B136" s="480" t="s">
        <v>102</v>
      </c>
      <c r="C136" s="476"/>
      <c r="D136" s="476"/>
      <c r="E136" s="155">
        <v>73387.47</v>
      </c>
      <c r="F136" s="155">
        <v>0</v>
      </c>
      <c r="G136" s="22"/>
      <c r="H136" s="155">
        <v>0</v>
      </c>
      <c r="I136" s="22"/>
      <c r="J136" s="155">
        <v>73387.47</v>
      </c>
      <c r="K136" s="22">
        <f t="shared" si="2"/>
        <v>0</v>
      </c>
    </row>
    <row r="137" spans="1:11" ht="15.95" customHeight="1" x14ac:dyDescent="0.2">
      <c r="A137" s="139">
        <v>122</v>
      </c>
      <c r="B137" s="480" t="s">
        <v>268</v>
      </c>
      <c r="C137" s="476"/>
      <c r="D137" s="476"/>
      <c r="E137" s="155">
        <v>12203.91</v>
      </c>
      <c r="F137" s="155">
        <v>0</v>
      </c>
      <c r="G137" s="22"/>
      <c r="H137" s="155">
        <v>0</v>
      </c>
      <c r="I137" s="22"/>
      <c r="J137" s="155">
        <v>12203.91</v>
      </c>
      <c r="K137" s="22">
        <f t="shared" si="2"/>
        <v>0</v>
      </c>
    </row>
    <row r="138" spans="1:11" ht="15.95" customHeight="1" x14ac:dyDescent="0.2">
      <c r="A138" s="139">
        <v>12201</v>
      </c>
      <c r="B138" s="480" t="s">
        <v>268</v>
      </c>
      <c r="C138" s="476"/>
      <c r="D138" s="476"/>
      <c r="E138" s="155">
        <v>12203.91</v>
      </c>
      <c r="F138" s="155">
        <v>0</v>
      </c>
      <c r="G138" s="22"/>
      <c r="H138" s="155">
        <v>0</v>
      </c>
      <c r="I138" s="22"/>
      <c r="J138" s="155">
        <v>12203.91</v>
      </c>
      <c r="K138" s="22">
        <f t="shared" si="2"/>
        <v>0</v>
      </c>
    </row>
    <row r="139" spans="1:11" ht="15.95" customHeight="1" x14ac:dyDescent="0.2">
      <c r="A139" s="139">
        <v>1220105</v>
      </c>
      <c r="B139" s="480" t="s">
        <v>269</v>
      </c>
      <c r="C139" s="476"/>
      <c r="D139" s="476"/>
      <c r="E139" s="155">
        <v>12203.91</v>
      </c>
      <c r="F139" s="155">
        <v>0</v>
      </c>
      <c r="G139" s="22"/>
      <c r="H139" s="155">
        <v>0</v>
      </c>
      <c r="I139" s="22"/>
      <c r="J139" s="155">
        <v>12203.91</v>
      </c>
      <c r="K139" s="22">
        <f t="shared" si="2"/>
        <v>0</v>
      </c>
    </row>
    <row r="140" spans="1:11" ht="15.95" customHeight="1" x14ac:dyDescent="0.2">
      <c r="A140" s="139" t="s">
        <v>270</v>
      </c>
      <c r="B140" s="480" t="s">
        <v>271</v>
      </c>
      <c r="C140" s="476"/>
      <c r="D140" s="476"/>
      <c r="E140" s="155">
        <v>4179.53</v>
      </c>
      <c r="F140" s="155">
        <v>0</v>
      </c>
      <c r="G140" s="22"/>
      <c r="H140" s="155">
        <v>0</v>
      </c>
      <c r="I140" s="22"/>
      <c r="J140" s="155">
        <v>4179.53</v>
      </c>
      <c r="K140" s="22">
        <f t="shared" si="2"/>
        <v>0</v>
      </c>
    </row>
    <row r="141" spans="1:11" ht="15.95" customHeight="1" x14ac:dyDescent="0.2">
      <c r="A141" s="139" t="s">
        <v>272</v>
      </c>
      <c r="B141" s="480" t="s">
        <v>273</v>
      </c>
      <c r="C141" s="476"/>
      <c r="D141" s="476"/>
      <c r="E141" s="155">
        <v>8024.38</v>
      </c>
      <c r="F141" s="155">
        <v>0</v>
      </c>
      <c r="G141" s="22"/>
      <c r="H141" s="155">
        <v>0</v>
      </c>
      <c r="I141" s="22"/>
      <c r="J141" s="155">
        <v>8024.38</v>
      </c>
      <c r="K141" s="22">
        <f t="shared" si="2"/>
        <v>0</v>
      </c>
    </row>
    <row r="142" spans="1:11" ht="15.95" customHeight="1" x14ac:dyDescent="0.2">
      <c r="A142" s="139">
        <v>123</v>
      </c>
      <c r="B142" s="480" t="s">
        <v>274</v>
      </c>
      <c r="C142" s="476"/>
      <c r="D142" s="476"/>
      <c r="E142" s="155">
        <v>301594030.73000002</v>
      </c>
      <c r="F142" s="155">
        <v>668603.02</v>
      </c>
      <c r="G142" s="22"/>
      <c r="H142" s="155">
        <v>11707200.84</v>
      </c>
      <c r="I142" s="22"/>
      <c r="J142" s="155">
        <v>290555432.91000003</v>
      </c>
      <c r="K142" s="22">
        <f t="shared" si="2"/>
        <v>-11038597.819999993</v>
      </c>
    </row>
    <row r="143" spans="1:11" ht="15.95" customHeight="1" x14ac:dyDescent="0.2">
      <c r="A143" s="141">
        <v>12301</v>
      </c>
      <c r="B143" s="481" t="s">
        <v>274</v>
      </c>
      <c r="C143" s="482"/>
      <c r="D143" s="482"/>
      <c r="E143" s="156">
        <v>395177525.94999999</v>
      </c>
      <c r="F143" s="156">
        <v>75848.929999999993</v>
      </c>
      <c r="G143" s="25"/>
      <c r="H143" s="156">
        <v>0</v>
      </c>
      <c r="I143" s="25"/>
      <c r="J143" s="156">
        <v>395253374.88</v>
      </c>
      <c r="K143" s="25">
        <f t="shared" si="2"/>
        <v>75848.930000007153</v>
      </c>
    </row>
    <row r="144" spans="1:11" ht="15.95" customHeight="1" x14ac:dyDescent="0.2">
      <c r="A144" s="139">
        <v>1230101</v>
      </c>
      <c r="B144" s="480" t="s">
        <v>275</v>
      </c>
      <c r="C144" s="476"/>
      <c r="D144" s="476"/>
      <c r="E144" s="155">
        <v>15578786.41</v>
      </c>
      <c r="F144" s="155">
        <v>61090</v>
      </c>
      <c r="G144" s="22"/>
      <c r="H144" s="155">
        <v>0</v>
      </c>
      <c r="I144" s="22"/>
      <c r="J144" s="155">
        <v>15639876.41</v>
      </c>
      <c r="K144" s="22">
        <f t="shared" si="2"/>
        <v>61090</v>
      </c>
    </row>
    <row r="145" spans="1:11" ht="15.95" customHeight="1" x14ac:dyDescent="0.2">
      <c r="A145" s="139" t="s">
        <v>276</v>
      </c>
      <c r="B145" s="480" t="s">
        <v>277</v>
      </c>
      <c r="C145" s="476"/>
      <c r="D145" s="476"/>
      <c r="E145" s="155">
        <v>65660.77</v>
      </c>
      <c r="F145" s="155">
        <v>0</v>
      </c>
      <c r="G145" s="22"/>
      <c r="H145" s="155">
        <v>0</v>
      </c>
      <c r="I145" s="22"/>
      <c r="J145" s="155">
        <v>65660.77</v>
      </c>
      <c r="K145" s="22">
        <f t="shared" si="2"/>
        <v>0</v>
      </c>
    </row>
    <row r="146" spans="1:11" ht="15.95" customHeight="1" x14ac:dyDescent="0.2">
      <c r="A146" s="139" t="s">
        <v>278</v>
      </c>
      <c r="B146" s="480" t="s">
        <v>279</v>
      </c>
      <c r="C146" s="476"/>
      <c r="D146" s="476"/>
      <c r="E146" s="155">
        <v>12832.06</v>
      </c>
      <c r="F146" s="155">
        <v>0</v>
      </c>
      <c r="G146" s="22"/>
      <c r="H146" s="155">
        <v>0</v>
      </c>
      <c r="I146" s="22"/>
      <c r="J146" s="155">
        <v>12832.06</v>
      </c>
      <c r="K146" s="22">
        <f t="shared" si="2"/>
        <v>0</v>
      </c>
    </row>
    <row r="147" spans="1:11" ht="15.95" customHeight="1" x14ac:dyDescent="0.2">
      <c r="A147" s="139" t="s">
        <v>280</v>
      </c>
      <c r="B147" s="480" t="s">
        <v>281</v>
      </c>
      <c r="C147" s="476"/>
      <c r="D147" s="476"/>
      <c r="E147" s="155">
        <v>1204903.52</v>
      </c>
      <c r="F147" s="155">
        <v>0</v>
      </c>
      <c r="G147" s="22"/>
      <c r="H147" s="155">
        <v>0</v>
      </c>
      <c r="I147" s="22"/>
      <c r="J147" s="155">
        <v>1204903.52</v>
      </c>
      <c r="K147" s="22">
        <f t="shared" si="2"/>
        <v>0</v>
      </c>
    </row>
    <row r="148" spans="1:11" ht="15.95" customHeight="1" x14ac:dyDescent="0.2">
      <c r="A148" s="139" t="s">
        <v>282</v>
      </c>
      <c r="B148" s="480" t="s">
        <v>283</v>
      </c>
      <c r="C148" s="476"/>
      <c r="D148" s="476"/>
      <c r="E148" s="155">
        <v>9694631.7100000009</v>
      </c>
      <c r="F148" s="155">
        <v>0</v>
      </c>
      <c r="G148" s="22"/>
      <c r="H148" s="155">
        <v>0</v>
      </c>
      <c r="I148" s="22"/>
      <c r="J148" s="155">
        <v>9694631.7100000009</v>
      </c>
      <c r="K148" s="22">
        <f t="shared" si="2"/>
        <v>0</v>
      </c>
    </row>
    <row r="149" spans="1:11" ht="15.95" customHeight="1" x14ac:dyDescent="0.2">
      <c r="A149" s="139" t="s">
        <v>284</v>
      </c>
      <c r="B149" s="480" t="s">
        <v>285</v>
      </c>
      <c r="C149" s="476"/>
      <c r="D149" s="476"/>
      <c r="E149" s="155">
        <v>667472.91</v>
      </c>
      <c r="F149" s="155">
        <v>1290</v>
      </c>
      <c r="G149" s="22"/>
      <c r="H149" s="155">
        <v>0</v>
      </c>
      <c r="I149" s="22"/>
      <c r="J149" s="155">
        <v>668762.91</v>
      </c>
      <c r="K149" s="22">
        <f t="shared" si="2"/>
        <v>1290</v>
      </c>
    </row>
    <row r="150" spans="1:11" ht="15.95" customHeight="1" x14ac:dyDescent="0.2">
      <c r="A150" s="139" t="s">
        <v>286</v>
      </c>
      <c r="B150" s="480" t="s">
        <v>287</v>
      </c>
      <c r="C150" s="476"/>
      <c r="D150" s="476"/>
      <c r="E150" s="155">
        <v>1287040.06</v>
      </c>
      <c r="F150" s="155">
        <v>10800</v>
      </c>
      <c r="G150" s="22"/>
      <c r="H150" s="155">
        <v>0</v>
      </c>
      <c r="I150" s="22"/>
      <c r="J150" s="155">
        <v>1297840.06</v>
      </c>
      <c r="K150" s="22">
        <f t="shared" si="2"/>
        <v>10800</v>
      </c>
    </row>
    <row r="151" spans="1:11" ht="15.95" customHeight="1" x14ac:dyDescent="0.2">
      <c r="A151" s="139" t="s">
        <v>288</v>
      </c>
      <c r="B151" s="480" t="s">
        <v>289</v>
      </c>
      <c r="C151" s="476"/>
      <c r="D151" s="476"/>
      <c r="E151" s="155">
        <v>1262181.1399999999</v>
      </c>
      <c r="F151" s="155">
        <v>49000</v>
      </c>
      <c r="G151" s="22"/>
      <c r="H151" s="155">
        <v>0</v>
      </c>
      <c r="I151" s="22"/>
      <c r="J151" s="155">
        <v>1311181.1399999999</v>
      </c>
      <c r="K151" s="22">
        <f t="shared" si="2"/>
        <v>49000</v>
      </c>
    </row>
    <row r="152" spans="1:11" ht="15.95" customHeight="1" x14ac:dyDescent="0.2">
      <c r="A152" s="139" t="s">
        <v>290</v>
      </c>
      <c r="B152" s="480" t="s">
        <v>291</v>
      </c>
      <c r="C152" s="476"/>
      <c r="D152" s="476"/>
      <c r="E152" s="155">
        <v>778347.84</v>
      </c>
      <c r="F152" s="155">
        <v>0</v>
      </c>
      <c r="G152" s="22"/>
      <c r="H152" s="155">
        <v>0</v>
      </c>
      <c r="I152" s="22"/>
      <c r="J152" s="155">
        <v>778347.84</v>
      </c>
      <c r="K152" s="22">
        <f t="shared" si="2"/>
        <v>0</v>
      </c>
    </row>
    <row r="153" spans="1:11" ht="15.95" customHeight="1" x14ac:dyDescent="0.2">
      <c r="A153" s="139" t="s">
        <v>292</v>
      </c>
      <c r="B153" s="480" t="s">
        <v>293</v>
      </c>
      <c r="C153" s="476"/>
      <c r="D153" s="476"/>
      <c r="E153" s="155">
        <v>15354</v>
      </c>
      <c r="F153" s="155">
        <v>0</v>
      </c>
      <c r="G153" s="22"/>
      <c r="H153" s="155">
        <v>0</v>
      </c>
      <c r="I153" s="22"/>
      <c r="J153" s="155">
        <v>15354</v>
      </c>
      <c r="K153" s="22">
        <f t="shared" si="2"/>
        <v>0</v>
      </c>
    </row>
    <row r="154" spans="1:11" ht="15.95" customHeight="1" x14ac:dyDescent="0.2">
      <c r="A154" s="139" t="s">
        <v>294</v>
      </c>
      <c r="B154" s="480" t="s">
        <v>295</v>
      </c>
      <c r="C154" s="476"/>
      <c r="D154" s="476"/>
      <c r="E154" s="155">
        <v>590362.4</v>
      </c>
      <c r="F154" s="155">
        <v>0</v>
      </c>
      <c r="G154" s="22"/>
      <c r="H154" s="155">
        <v>0</v>
      </c>
      <c r="I154" s="22"/>
      <c r="J154" s="155">
        <v>590362.4</v>
      </c>
      <c r="K154" s="22">
        <f t="shared" si="2"/>
        <v>0</v>
      </c>
    </row>
    <row r="155" spans="1:11" ht="15.95" customHeight="1" x14ac:dyDescent="0.2">
      <c r="A155" s="139">
        <v>1230102</v>
      </c>
      <c r="B155" s="480" t="s">
        <v>296</v>
      </c>
      <c r="C155" s="476"/>
      <c r="D155" s="476"/>
      <c r="E155" s="155">
        <v>144659770.72999999</v>
      </c>
      <c r="F155" s="155">
        <v>0</v>
      </c>
      <c r="G155" s="22"/>
      <c r="H155" s="155">
        <v>0</v>
      </c>
      <c r="I155" s="22"/>
      <c r="J155" s="155">
        <v>144659770.72999999</v>
      </c>
      <c r="K155" s="22">
        <f t="shared" si="2"/>
        <v>0</v>
      </c>
    </row>
    <row r="156" spans="1:11" ht="15.95" customHeight="1" x14ac:dyDescent="0.2">
      <c r="A156" s="139" t="s">
        <v>297</v>
      </c>
      <c r="B156" s="480" t="s">
        <v>298</v>
      </c>
      <c r="C156" s="476"/>
      <c r="D156" s="476"/>
      <c r="E156" s="155">
        <v>1770.62</v>
      </c>
      <c r="F156" s="155">
        <v>0</v>
      </c>
      <c r="G156" s="22"/>
      <c r="H156" s="155">
        <v>0</v>
      </c>
      <c r="I156" s="22"/>
      <c r="J156" s="155">
        <v>1770.62</v>
      </c>
      <c r="K156" s="22">
        <f t="shared" si="2"/>
        <v>0</v>
      </c>
    </row>
    <row r="157" spans="1:11" ht="15.95" customHeight="1" x14ac:dyDescent="0.2">
      <c r="A157" s="139" t="s">
        <v>299</v>
      </c>
      <c r="B157" s="480" t="s">
        <v>300</v>
      </c>
      <c r="C157" s="476"/>
      <c r="D157" s="476"/>
      <c r="E157" s="155">
        <v>14370221.73</v>
      </c>
      <c r="F157" s="155">
        <v>0</v>
      </c>
      <c r="G157" s="22"/>
      <c r="H157" s="155">
        <v>0</v>
      </c>
      <c r="I157" s="22"/>
      <c r="J157" s="155">
        <v>14370221.73</v>
      </c>
      <c r="K157" s="22">
        <f t="shared" si="2"/>
        <v>0</v>
      </c>
    </row>
    <row r="158" spans="1:11" ht="15.95" customHeight="1" x14ac:dyDescent="0.2">
      <c r="A158" s="139" t="s">
        <v>301</v>
      </c>
      <c r="B158" s="480" t="s">
        <v>302</v>
      </c>
      <c r="C158" s="476"/>
      <c r="D158" s="476"/>
      <c r="E158" s="155">
        <v>4450.58</v>
      </c>
      <c r="F158" s="155">
        <v>0</v>
      </c>
      <c r="G158" s="22"/>
      <c r="H158" s="155">
        <v>0</v>
      </c>
      <c r="I158" s="22"/>
      <c r="J158" s="155">
        <v>4450.58</v>
      </c>
      <c r="K158" s="22">
        <f t="shared" si="2"/>
        <v>0</v>
      </c>
    </row>
    <row r="159" spans="1:11" ht="15.95" customHeight="1" x14ac:dyDescent="0.2">
      <c r="A159" s="139" t="s">
        <v>303</v>
      </c>
      <c r="B159" s="480" t="s">
        <v>304</v>
      </c>
      <c r="C159" s="476"/>
      <c r="D159" s="476"/>
      <c r="E159" s="155">
        <v>24023782.789999999</v>
      </c>
      <c r="F159" s="155">
        <v>0</v>
      </c>
      <c r="G159" s="22"/>
      <c r="H159" s="155">
        <v>0</v>
      </c>
      <c r="I159" s="22"/>
      <c r="J159" s="155">
        <v>24023782.789999999</v>
      </c>
      <c r="K159" s="22">
        <f t="shared" si="2"/>
        <v>0</v>
      </c>
    </row>
    <row r="160" spans="1:11" ht="15.95" customHeight="1" x14ac:dyDescent="0.2">
      <c r="A160" s="139" t="s">
        <v>305</v>
      </c>
      <c r="B160" s="480" t="s">
        <v>306</v>
      </c>
      <c r="C160" s="476"/>
      <c r="D160" s="476"/>
      <c r="E160" s="155">
        <v>60129217.159999996</v>
      </c>
      <c r="F160" s="155">
        <v>0</v>
      </c>
      <c r="G160" s="22"/>
      <c r="H160" s="155">
        <v>0</v>
      </c>
      <c r="I160" s="22"/>
      <c r="J160" s="155">
        <v>60129217.159999996</v>
      </c>
      <c r="K160" s="22">
        <f t="shared" si="2"/>
        <v>0</v>
      </c>
    </row>
    <row r="161" spans="1:11" ht="15.95" customHeight="1" x14ac:dyDescent="0.2">
      <c r="A161" s="139" t="s">
        <v>307</v>
      </c>
      <c r="B161" s="480" t="s">
        <v>308</v>
      </c>
      <c r="C161" s="476"/>
      <c r="D161" s="476"/>
      <c r="E161" s="155">
        <v>16451422.199999999</v>
      </c>
      <c r="F161" s="155">
        <v>0</v>
      </c>
      <c r="G161" s="22"/>
      <c r="H161" s="155">
        <v>0</v>
      </c>
      <c r="I161" s="22"/>
      <c r="J161" s="155">
        <v>16451422.199999999</v>
      </c>
      <c r="K161" s="22">
        <f t="shared" si="2"/>
        <v>0</v>
      </c>
    </row>
    <row r="162" spans="1:11" ht="15.95" customHeight="1" x14ac:dyDescent="0.2">
      <c r="A162" s="139" t="s">
        <v>309</v>
      </c>
      <c r="B162" s="480" t="s">
        <v>310</v>
      </c>
      <c r="C162" s="476"/>
      <c r="D162" s="476"/>
      <c r="E162" s="155">
        <v>501889.3</v>
      </c>
      <c r="F162" s="155">
        <v>0</v>
      </c>
      <c r="G162" s="22"/>
      <c r="H162" s="155">
        <v>0</v>
      </c>
      <c r="I162" s="22"/>
      <c r="J162" s="155">
        <v>501889.3</v>
      </c>
      <c r="K162" s="22">
        <f t="shared" si="2"/>
        <v>0</v>
      </c>
    </row>
    <row r="163" spans="1:11" ht="15.95" customHeight="1" x14ac:dyDescent="0.2">
      <c r="A163" s="139" t="s">
        <v>311</v>
      </c>
      <c r="B163" s="480" t="s">
        <v>312</v>
      </c>
      <c r="C163" s="476"/>
      <c r="D163" s="476"/>
      <c r="E163" s="155">
        <v>95202.46</v>
      </c>
      <c r="F163" s="155">
        <v>0</v>
      </c>
      <c r="G163" s="22"/>
      <c r="H163" s="155">
        <v>0</v>
      </c>
      <c r="I163" s="22"/>
      <c r="J163" s="155">
        <v>95202.46</v>
      </c>
      <c r="K163" s="22">
        <f t="shared" si="2"/>
        <v>0</v>
      </c>
    </row>
    <row r="164" spans="1:11" ht="27.95" customHeight="1" x14ac:dyDescent="0.2">
      <c r="A164" s="139" t="s">
        <v>313</v>
      </c>
      <c r="B164" s="480" t="s">
        <v>314</v>
      </c>
      <c r="C164" s="476"/>
      <c r="D164" s="476"/>
      <c r="E164" s="155">
        <v>13925.73</v>
      </c>
      <c r="F164" s="155">
        <v>0</v>
      </c>
      <c r="G164" s="22"/>
      <c r="H164" s="155">
        <v>0</v>
      </c>
      <c r="I164" s="22"/>
      <c r="J164" s="155">
        <v>13925.73</v>
      </c>
      <c r="K164" s="22">
        <f t="shared" si="2"/>
        <v>0</v>
      </c>
    </row>
    <row r="165" spans="1:11" ht="15.95" customHeight="1" x14ac:dyDescent="0.2">
      <c r="A165" s="139" t="s">
        <v>315</v>
      </c>
      <c r="B165" s="480" t="s">
        <v>316</v>
      </c>
      <c r="C165" s="476"/>
      <c r="D165" s="476"/>
      <c r="E165" s="155">
        <v>12492661.49</v>
      </c>
      <c r="F165" s="155">
        <v>0</v>
      </c>
      <c r="G165" s="22"/>
      <c r="H165" s="155">
        <v>0</v>
      </c>
      <c r="I165" s="22"/>
      <c r="J165" s="155">
        <v>12492661.49</v>
      </c>
      <c r="K165" s="22">
        <f t="shared" si="2"/>
        <v>0</v>
      </c>
    </row>
    <row r="166" spans="1:11" ht="15.95" customHeight="1" x14ac:dyDescent="0.2">
      <c r="A166" s="139" t="s">
        <v>317</v>
      </c>
      <c r="B166" s="480" t="s">
        <v>318</v>
      </c>
      <c r="C166" s="476"/>
      <c r="D166" s="476"/>
      <c r="E166" s="155">
        <v>984332.14</v>
      </c>
      <c r="F166" s="155">
        <v>0</v>
      </c>
      <c r="G166" s="22"/>
      <c r="H166" s="155">
        <v>0</v>
      </c>
      <c r="I166" s="22"/>
      <c r="J166" s="155">
        <v>984332.14</v>
      </c>
      <c r="K166" s="22">
        <f t="shared" si="2"/>
        <v>0</v>
      </c>
    </row>
    <row r="167" spans="1:11" ht="15.95" customHeight="1" x14ac:dyDescent="0.2">
      <c r="A167" s="139" t="s">
        <v>319</v>
      </c>
      <c r="B167" s="480" t="s">
        <v>320</v>
      </c>
      <c r="C167" s="476"/>
      <c r="D167" s="476"/>
      <c r="E167" s="155">
        <v>600371.77</v>
      </c>
      <c r="F167" s="155">
        <v>0</v>
      </c>
      <c r="G167" s="22"/>
      <c r="H167" s="155">
        <v>0</v>
      </c>
      <c r="I167" s="22"/>
      <c r="J167" s="155">
        <v>600371.77</v>
      </c>
      <c r="K167" s="22">
        <f t="shared" si="2"/>
        <v>0</v>
      </c>
    </row>
    <row r="168" spans="1:11" ht="15.95" customHeight="1" x14ac:dyDescent="0.2">
      <c r="A168" s="139" t="s">
        <v>321</v>
      </c>
      <c r="B168" s="480" t="s">
        <v>322</v>
      </c>
      <c r="C168" s="476"/>
      <c r="D168" s="476"/>
      <c r="E168" s="155">
        <v>123943.43</v>
      </c>
      <c r="F168" s="155">
        <v>0</v>
      </c>
      <c r="G168" s="22"/>
      <c r="H168" s="155">
        <v>0</v>
      </c>
      <c r="I168" s="22"/>
      <c r="J168" s="155">
        <v>123943.43</v>
      </c>
      <c r="K168" s="22">
        <f t="shared" si="2"/>
        <v>0</v>
      </c>
    </row>
    <row r="169" spans="1:11" ht="15.95" customHeight="1" x14ac:dyDescent="0.2">
      <c r="A169" s="139" t="s">
        <v>323</v>
      </c>
      <c r="B169" s="480" t="s">
        <v>324</v>
      </c>
      <c r="C169" s="476"/>
      <c r="D169" s="476"/>
      <c r="E169" s="155">
        <v>149.38</v>
      </c>
      <c r="F169" s="155">
        <v>0</v>
      </c>
      <c r="G169" s="22"/>
      <c r="H169" s="155">
        <v>0</v>
      </c>
      <c r="I169" s="22"/>
      <c r="J169" s="155">
        <v>149.38</v>
      </c>
      <c r="K169" s="22">
        <f t="shared" si="2"/>
        <v>0</v>
      </c>
    </row>
    <row r="170" spans="1:11" ht="15.95" customHeight="1" x14ac:dyDescent="0.2">
      <c r="A170" s="139" t="s">
        <v>325</v>
      </c>
      <c r="B170" s="480" t="s">
        <v>326</v>
      </c>
      <c r="C170" s="476"/>
      <c r="D170" s="476"/>
      <c r="E170" s="155">
        <v>2942111.51</v>
      </c>
      <c r="F170" s="155">
        <v>0</v>
      </c>
      <c r="G170" s="22"/>
      <c r="H170" s="155">
        <v>0</v>
      </c>
      <c r="I170" s="22"/>
      <c r="J170" s="155">
        <v>2942111.51</v>
      </c>
      <c r="K170" s="22">
        <f t="shared" si="2"/>
        <v>0</v>
      </c>
    </row>
    <row r="171" spans="1:11" ht="15.95" customHeight="1" x14ac:dyDescent="0.2">
      <c r="A171" s="139" t="s">
        <v>327</v>
      </c>
      <c r="B171" s="480" t="s">
        <v>328</v>
      </c>
      <c r="C171" s="476"/>
      <c r="D171" s="476"/>
      <c r="E171" s="155">
        <v>1970.82</v>
      </c>
      <c r="F171" s="155">
        <v>0</v>
      </c>
      <c r="G171" s="22"/>
      <c r="H171" s="155">
        <v>0</v>
      </c>
      <c r="I171" s="22"/>
      <c r="J171" s="155">
        <v>1970.82</v>
      </c>
      <c r="K171" s="22">
        <f t="shared" si="2"/>
        <v>0</v>
      </c>
    </row>
    <row r="172" spans="1:11" ht="15.95" customHeight="1" x14ac:dyDescent="0.2">
      <c r="A172" s="139" t="s">
        <v>329</v>
      </c>
      <c r="B172" s="480" t="s">
        <v>330</v>
      </c>
      <c r="C172" s="476"/>
      <c r="D172" s="476"/>
      <c r="E172" s="155">
        <v>468475.02</v>
      </c>
      <c r="F172" s="155">
        <v>0</v>
      </c>
      <c r="G172" s="22"/>
      <c r="H172" s="155">
        <v>0</v>
      </c>
      <c r="I172" s="22"/>
      <c r="J172" s="155">
        <v>468475.02</v>
      </c>
      <c r="K172" s="22">
        <f t="shared" si="2"/>
        <v>0</v>
      </c>
    </row>
    <row r="173" spans="1:11" ht="15.95" customHeight="1" x14ac:dyDescent="0.2">
      <c r="A173" s="139" t="s">
        <v>331</v>
      </c>
      <c r="B173" s="480" t="s">
        <v>332</v>
      </c>
      <c r="C173" s="476"/>
      <c r="D173" s="476"/>
      <c r="E173" s="155">
        <v>7045901.6699999999</v>
      </c>
      <c r="F173" s="155">
        <v>0</v>
      </c>
      <c r="G173" s="22"/>
      <c r="H173" s="155">
        <v>0</v>
      </c>
      <c r="I173" s="22"/>
      <c r="J173" s="155">
        <v>7045901.6699999999</v>
      </c>
      <c r="K173" s="22">
        <f t="shared" si="2"/>
        <v>0</v>
      </c>
    </row>
    <row r="174" spans="1:11" ht="15.95" customHeight="1" x14ac:dyDescent="0.2">
      <c r="A174" s="139" t="s">
        <v>333</v>
      </c>
      <c r="B174" s="480" t="s">
        <v>334</v>
      </c>
      <c r="C174" s="476"/>
      <c r="D174" s="476"/>
      <c r="E174" s="155">
        <v>1224566.5900000001</v>
      </c>
      <c r="F174" s="155">
        <v>0</v>
      </c>
      <c r="G174" s="22"/>
      <c r="H174" s="155">
        <v>0</v>
      </c>
      <c r="I174" s="22"/>
      <c r="J174" s="155">
        <v>1224566.5900000001</v>
      </c>
      <c r="K174" s="22">
        <f t="shared" si="2"/>
        <v>0</v>
      </c>
    </row>
    <row r="175" spans="1:11" ht="15.95" customHeight="1" x14ac:dyDescent="0.2">
      <c r="A175" s="139" t="s">
        <v>335</v>
      </c>
      <c r="B175" s="480" t="s">
        <v>336</v>
      </c>
      <c r="C175" s="476"/>
      <c r="D175" s="476"/>
      <c r="E175" s="155">
        <v>2117236.1</v>
      </c>
      <c r="F175" s="155">
        <v>0</v>
      </c>
      <c r="G175" s="22"/>
      <c r="H175" s="155">
        <v>0</v>
      </c>
      <c r="I175" s="22"/>
      <c r="J175" s="155">
        <v>2117236.1</v>
      </c>
      <c r="K175" s="22">
        <f t="shared" si="2"/>
        <v>0</v>
      </c>
    </row>
    <row r="176" spans="1:11" ht="15.95" customHeight="1" x14ac:dyDescent="0.2">
      <c r="A176" s="139" t="s">
        <v>337</v>
      </c>
      <c r="B176" s="480" t="s">
        <v>338</v>
      </c>
      <c r="C176" s="476"/>
      <c r="D176" s="476"/>
      <c r="E176" s="155">
        <v>1066168.24</v>
      </c>
      <c r="F176" s="155">
        <v>0</v>
      </c>
      <c r="G176" s="22"/>
      <c r="H176" s="155">
        <v>0</v>
      </c>
      <c r="I176" s="22"/>
      <c r="J176" s="155">
        <v>1066168.24</v>
      </c>
      <c r="K176" s="22">
        <f t="shared" si="2"/>
        <v>0</v>
      </c>
    </row>
    <row r="177" spans="1:11" ht="15.95" customHeight="1" x14ac:dyDescent="0.2">
      <c r="A177" s="139">
        <v>1230103</v>
      </c>
      <c r="B177" s="480" t="s">
        <v>339</v>
      </c>
      <c r="C177" s="476"/>
      <c r="D177" s="476"/>
      <c r="E177" s="155">
        <v>382225.69</v>
      </c>
      <c r="F177" s="155">
        <v>14758.93</v>
      </c>
      <c r="G177" s="22"/>
      <c r="H177" s="155">
        <v>0</v>
      </c>
      <c r="I177" s="22"/>
      <c r="J177" s="155">
        <v>396984.62</v>
      </c>
      <c r="K177" s="22">
        <f t="shared" si="2"/>
        <v>14758.929999999993</v>
      </c>
    </row>
    <row r="178" spans="1:11" ht="15.95" customHeight="1" x14ac:dyDescent="0.2">
      <c r="A178" s="139" t="s">
        <v>340</v>
      </c>
      <c r="B178" s="480" t="s">
        <v>341</v>
      </c>
      <c r="C178" s="476"/>
      <c r="D178" s="476"/>
      <c r="E178" s="155">
        <v>382225.69</v>
      </c>
      <c r="F178" s="155">
        <v>14758.93</v>
      </c>
      <c r="G178" s="22"/>
      <c r="H178" s="155">
        <v>0</v>
      </c>
      <c r="I178" s="22"/>
      <c r="J178" s="155">
        <v>396984.62</v>
      </c>
      <c r="K178" s="22">
        <f t="shared" si="2"/>
        <v>14758.929999999993</v>
      </c>
    </row>
    <row r="179" spans="1:11" ht="15.95" customHeight="1" x14ac:dyDescent="0.2">
      <c r="A179" s="139">
        <v>1230104</v>
      </c>
      <c r="B179" s="480" t="s">
        <v>342</v>
      </c>
      <c r="C179" s="476"/>
      <c r="D179" s="476"/>
      <c r="E179" s="155">
        <v>1626929.13</v>
      </c>
      <c r="F179" s="155">
        <v>0</v>
      </c>
      <c r="G179" s="22"/>
      <c r="H179" s="155">
        <v>0</v>
      </c>
      <c r="I179" s="22"/>
      <c r="J179" s="155">
        <v>1626929.13</v>
      </c>
      <c r="K179" s="22">
        <f t="shared" si="2"/>
        <v>0</v>
      </c>
    </row>
    <row r="180" spans="1:11" ht="15.95" customHeight="1" x14ac:dyDescent="0.2">
      <c r="A180" s="139" t="s">
        <v>343</v>
      </c>
      <c r="B180" s="480" t="s">
        <v>344</v>
      </c>
      <c r="C180" s="476"/>
      <c r="D180" s="476"/>
      <c r="E180" s="155">
        <v>527833.12</v>
      </c>
      <c r="F180" s="155">
        <v>0</v>
      </c>
      <c r="G180" s="22"/>
      <c r="H180" s="155">
        <v>0</v>
      </c>
      <c r="I180" s="22"/>
      <c r="J180" s="155">
        <v>527833.12</v>
      </c>
      <c r="K180" s="22">
        <f t="shared" si="2"/>
        <v>0</v>
      </c>
    </row>
    <row r="181" spans="1:11" ht="15.95" customHeight="1" x14ac:dyDescent="0.2">
      <c r="A181" s="139" t="s">
        <v>345</v>
      </c>
      <c r="B181" s="480" t="s">
        <v>346</v>
      </c>
      <c r="C181" s="476"/>
      <c r="D181" s="476"/>
      <c r="E181" s="155">
        <v>140000</v>
      </c>
      <c r="F181" s="155">
        <v>0</v>
      </c>
      <c r="G181" s="22"/>
      <c r="H181" s="155">
        <v>0</v>
      </c>
      <c r="I181" s="22"/>
      <c r="J181" s="155">
        <v>140000</v>
      </c>
      <c r="K181" s="22">
        <f t="shared" si="2"/>
        <v>0</v>
      </c>
    </row>
    <row r="182" spans="1:11" ht="15.95" customHeight="1" x14ac:dyDescent="0.2">
      <c r="A182" s="139" t="s">
        <v>347</v>
      </c>
      <c r="B182" s="480" t="s">
        <v>348</v>
      </c>
      <c r="C182" s="476"/>
      <c r="D182" s="476"/>
      <c r="E182" s="155">
        <v>959096.01</v>
      </c>
      <c r="F182" s="155">
        <v>0</v>
      </c>
      <c r="G182" s="22"/>
      <c r="H182" s="155">
        <v>0</v>
      </c>
      <c r="I182" s="22"/>
      <c r="J182" s="155">
        <v>959096.01</v>
      </c>
      <c r="K182" s="22">
        <f t="shared" si="2"/>
        <v>0</v>
      </c>
    </row>
    <row r="183" spans="1:11" ht="15.95" customHeight="1" x14ac:dyDescent="0.2">
      <c r="A183" s="139">
        <v>1230105</v>
      </c>
      <c r="B183" s="480" t="s">
        <v>349</v>
      </c>
      <c r="C183" s="476"/>
      <c r="D183" s="476"/>
      <c r="E183" s="155">
        <v>238454443.41</v>
      </c>
      <c r="F183" s="155">
        <v>0</v>
      </c>
      <c r="G183" s="22"/>
      <c r="H183" s="155">
        <v>0</v>
      </c>
      <c r="I183" s="22"/>
      <c r="J183" s="155">
        <v>238454443.41</v>
      </c>
      <c r="K183" s="22">
        <f t="shared" si="2"/>
        <v>0</v>
      </c>
    </row>
    <row r="184" spans="1:11" ht="15.95" customHeight="1" x14ac:dyDescent="0.2">
      <c r="A184" s="139" t="s">
        <v>350</v>
      </c>
      <c r="B184" s="480" t="s">
        <v>351</v>
      </c>
      <c r="C184" s="476"/>
      <c r="D184" s="476"/>
      <c r="E184" s="155">
        <v>231979697.44</v>
      </c>
      <c r="F184" s="155">
        <v>0</v>
      </c>
      <c r="G184" s="22"/>
      <c r="H184" s="155">
        <v>0</v>
      </c>
      <c r="I184" s="22"/>
      <c r="J184" s="155">
        <v>231979697.44</v>
      </c>
      <c r="K184" s="22">
        <f t="shared" si="2"/>
        <v>0</v>
      </c>
    </row>
    <row r="185" spans="1:11" ht="15.95" customHeight="1" x14ac:dyDescent="0.2">
      <c r="A185" s="139" t="s">
        <v>352</v>
      </c>
      <c r="B185" s="480" t="s">
        <v>353</v>
      </c>
      <c r="C185" s="476"/>
      <c r="D185" s="476"/>
      <c r="E185" s="155">
        <v>1093994.98</v>
      </c>
      <c r="F185" s="155">
        <v>0</v>
      </c>
      <c r="G185" s="22"/>
      <c r="H185" s="155">
        <v>0</v>
      </c>
      <c r="I185" s="22"/>
      <c r="J185" s="155">
        <v>1093994.98</v>
      </c>
      <c r="K185" s="22">
        <f t="shared" si="2"/>
        <v>0</v>
      </c>
    </row>
    <row r="186" spans="1:11" ht="15.95" customHeight="1" x14ac:dyDescent="0.2">
      <c r="A186" s="139" t="s">
        <v>354</v>
      </c>
      <c r="B186" s="480" t="s">
        <v>355</v>
      </c>
      <c r="C186" s="476"/>
      <c r="D186" s="476"/>
      <c r="E186" s="155">
        <v>3533050.99</v>
      </c>
      <c r="F186" s="155">
        <v>0</v>
      </c>
      <c r="G186" s="22"/>
      <c r="H186" s="155">
        <v>0</v>
      </c>
      <c r="I186" s="22"/>
      <c r="J186" s="155">
        <v>3533050.99</v>
      </c>
      <c r="K186" s="22">
        <f t="shared" si="2"/>
        <v>0</v>
      </c>
    </row>
    <row r="187" spans="1:11" ht="15.95" customHeight="1" x14ac:dyDescent="0.2">
      <c r="A187" s="139" t="s">
        <v>356</v>
      </c>
      <c r="B187" s="480" t="s">
        <v>357</v>
      </c>
      <c r="C187" s="476"/>
      <c r="D187" s="476"/>
      <c r="E187" s="155">
        <v>6700</v>
      </c>
      <c r="F187" s="155">
        <v>0</v>
      </c>
      <c r="G187" s="22"/>
      <c r="H187" s="155">
        <v>0</v>
      </c>
      <c r="I187" s="22"/>
      <c r="J187" s="155">
        <v>6700</v>
      </c>
      <c r="K187" s="22">
        <f t="shared" si="2"/>
        <v>0</v>
      </c>
    </row>
    <row r="188" spans="1:11" ht="15.95" customHeight="1" x14ac:dyDescent="0.2">
      <c r="A188" s="139" t="s">
        <v>358</v>
      </c>
      <c r="B188" s="480" t="s">
        <v>359</v>
      </c>
      <c r="C188" s="476"/>
      <c r="D188" s="476"/>
      <c r="E188" s="155">
        <v>1841000</v>
      </c>
      <c r="F188" s="155">
        <v>0</v>
      </c>
      <c r="G188" s="22"/>
      <c r="H188" s="155">
        <v>0</v>
      </c>
      <c r="I188" s="22"/>
      <c r="J188" s="155">
        <v>1841000</v>
      </c>
      <c r="K188" s="22">
        <f t="shared" si="2"/>
        <v>0</v>
      </c>
    </row>
    <row r="189" spans="1:11" ht="15.95" customHeight="1" x14ac:dyDescent="0.2">
      <c r="A189" s="139">
        <v>1230108</v>
      </c>
      <c r="B189" s="480" t="s">
        <v>360</v>
      </c>
      <c r="C189" s="476"/>
      <c r="D189" s="476"/>
      <c r="E189" s="155">
        <v>-5524629.4199999999</v>
      </c>
      <c r="F189" s="155">
        <v>0</v>
      </c>
      <c r="G189" s="22"/>
      <c r="H189" s="155">
        <v>0</v>
      </c>
      <c r="I189" s="22"/>
      <c r="J189" s="155">
        <v>-5524629.4199999999</v>
      </c>
      <c r="K189" s="22">
        <f t="shared" si="2"/>
        <v>0</v>
      </c>
    </row>
    <row r="190" spans="1:11" ht="15.95" customHeight="1" x14ac:dyDescent="0.2">
      <c r="A190" s="139" t="s">
        <v>361</v>
      </c>
      <c r="B190" s="480" t="s">
        <v>362</v>
      </c>
      <c r="C190" s="476"/>
      <c r="D190" s="476"/>
      <c r="E190" s="155">
        <v>-18424.2</v>
      </c>
      <c r="F190" s="155">
        <v>0</v>
      </c>
      <c r="G190" s="22"/>
      <c r="H190" s="155">
        <v>0</v>
      </c>
      <c r="I190" s="22"/>
      <c r="J190" s="155">
        <v>-18424.2</v>
      </c>
      <c r="K190" s="22">
        <f t="shared" si="2"/>
        <v>0</v>
      </c>
    </row>
    <row r="191" spans="1:11" ht="15.95" customHeight="1" x14ac:dyDescent="0.2">
      <c r="A191" s="139" t="s">
        <v>363</v>
      </c>
      <c r="B191" s="480" t="s">
        <v>364</v>
      </c>
      <c r="C191" s="476"/>
      <c r="D191" s="476"/>
      <c r="E191" s="155">
        <v>-170198.69</v>
      </c>
      <c r="F191" s="155">
        <v>0</v>
      </c>
      <c r="G191" s="22"/>
      <c r="H191" s="155">
        <v>0</v>
      </c>
      <c r="I191" s="22"/>
      <c r="J191" s="155">
        <v>-170198.69</v>
      </c>
      <c r="K191" s="22">
        <f t="shared" si="2"/>
        <v>0</v>
      </c>
    </row>
    <row r="192" spans="1:11" ht="15.95" customHeight="1" x14ac:dyDescent="0.2">
      <c r="A192" s="139" t="s">
        <v>365</v>
      </c>
      <c r="B192" s="480" t="s">
        <v>366</v>
      </c>
      <c r="C192" s="476"/>
      <c r="D192" s="476"/>
      <c r="E192" s="155">
        <v>-23611.29</v>
      </c>
      <c r="F192" s="155">
        <v>0</v>
      </c>
      <c r="G192" s="22"/>
      <c r="H192" s="155">
        <v>0</v>
      </c>
      <c r="I192" s="22"/>
      <c r="J192" s="155">
        <v>-23611.29</v>
      </c>
      <c r="K192" s="22">
        <f t="shared" si="2"/>
        <v>0</v>
      </c>
    </row>
    <row r="193" spans="1:11" ht="15.95" customHeight="1" x14ac:dyDescent="0.2">
      <c r="A193" s="139" t="s">
        <v>367</v>
      </c>
      <c r="B193" s="480" t="s">
        <v>368</v>
      </c>
      <c r="C193" s="476"/>
      <c r="D193" s="476"/>
      <c r="E193" s="155">
        <v>-8308.92</v>
      </c>
      <c r="F193" s="155">
        <v>0</v>
      </c>
      <c r="G193" s="22"/>
      <c r="H193" s="155">
        <v>0</v>
      </c>
      <c r="I193" s="22"/>
      <c r="J193" s="155">
        <v>-8308.92</v>
      </c>
      <c r="K193" s="22">
        <f t="shared" si="2"/>
        <v>0</v>
      </c>
    </row>
    <row r="194" spans="1:11" ht="15.95" customHeight="1" x14ac:dyDescent="0.2">
      <c r="A194" s="139" t="s">
        <v>369</v>
      </c>
      <c r="B194" s="480" t="s">
        <v>370</v>
      </c>
      <c r="C194" s="476"/>
      <c r="D194" s="476"/>
      <c r="E194" s="155">
        <v>-4233.8599999999997</v>
      </c>
      <c r="F194" s="155">
        <v>0</v>
      </c>
      <c r="G194" s="22"/>
      <c r="H194" s="155">
        <v>0</v>
      </c>
      <c r="I194" s="22"/>
      <c r="J194" s="155">
        <v>-4233.8599999999997</v>
      </c>
      <c r="K194" s="22">
        <f t="shared" si="2"/>
        <v>0</v>
      </c>
    </row>
    <row r="195" spans="1:11" ht="15.95" customHeight="1" x14ac:dyDescent="0.2">
      <c r="A195" s="139" t="s">
        <v>371</v>
      </c>
      <c r="B195" s="480" t="s">
        <v>372</v>
      </c>
      <c r="C195" s="476"/>
      <c r="D195" s="476"/>
      <c r="E195" s="155">
        <v>-2729.37</v>
      </c>
      <c r="F195" s="155">
        <v>0</v>
      </c>
      <c r="G195" s="22"/>
      <c r="H195" s="155">
        <v>0</v>
      </c>
      <c r="I195" s="22"/>
      <c r="J195" s="155">
        <v>-2729.37</v>
      </c>
      <c r="K195" s="22">
        <f t="shared" si="2"/>
        <v>0</v>
      </c>
    </row>
    <row r="196" spans="1:11" ht="15.95" customHeight="1" x14ac:dyDescent="0.2">
      <c r="A196" s="139" t="s">
        <v>373</v>
      </c>
      <c r="B196" s="480" t="s">
        <v>374</v>
      </c>
      <c r="C196" s="476"/>
      <c r="D196" s="476"/>
      <c r="E196" s="155">
        <v>-1353787.09</v>
      </c>
      <c r="F196" s="155">
        <v>0</v>
      </c>
      <c r="G196" s="22"/>
      <c r="H196" s="155">
        <v>0</v>
      </c>
      <c r="I196" s="22"/>
      <c r="J196" s="155">
        <v>-1353787.09</v>
      </c>
      <c r="K196" s="22">
        <f t="shared" ref="K196:K259" si="3">J196-E196</f>
        <v>0</v>
      </c>
    </row>
    <row r="197" spans="1:11" ht="15.95" customHeight="1" x14ac:dyDescent="0.2">
      <c r="A197" s="139" t="s">
        <v>375</v>
      </c>
      <c r="B197" s="480" t="s">
        <v>376</v>
      </c>
      <c r="C197" s="476"/>
      <c r="D197" s="476"/>
      <c r="E197" s="155">
        <v>-12754.35</v>
      </c>
      <c r="F197" s="155">
        <v>0</v>
      </c>
      <c r="G197" s="22"/>
      <c r="H197" s="155">
        <v>0</v>
      </c>
      <c r="I197" s="22"/>
      <c r="J197" s="155">
        <v>-12754.35</v>
      </c>
      <c r="K197" s="22">
        <f t="shared" si="3"/>
        <v>0</v>
      </c>
    </row>
    <row r="198" spans="1:11" ht="15.95" customHeight="1" x14ac:dyDescent="0.2">
      <c r="A198" s="139" t="s">
        <v>377</v>
      </c>
      <c r="B198" s="480" t="s">
        <v>378</v>
      </c>
      <c r="C198" s="476"/>
      <c r="D198" s="476"/>
      <c r="E198" s="155">
        <v>-1798587.79</v>
      </c>
      <c r="F198" s="155">
        <v>0</v>
      </c>
      <c r="G198" s="22"/>
      <c r="H198" s="155">
        <v>0</v>
      </c>
      <c r="I198" s="22"/>
      <c r="J198" s="155">
        <v>-1798587.79</v>
      </c>
      <c r="K198" s="22">
        <f t="shared" si="3"/>
        <v>0</v>
      </c>
    </row>
    <row r="199" spans="1:11" ht="15.95" customHeight="1" x14ac:dyDescent="0.2">
      <c r="A199" s="139" t="s">
        <v>379</v>
      </c>
      <c r="B199" s="480" t="s">
        <v>380</v>
      </c>
      <c r="C199" s="476"/>
      <c r="D199" s="476"/>
      <c r="E199" s="155">
        <v>-7928.64</v>
      </c>
      <c r="F199" s="155">
        <v>0</v>
      </c>
      <c r="G199" s="22"/>
      <c r="H199" s="155">
        <v>0</v>
      </c>
      <c r="I199" s="22"/>
      <c r="J199" s="155">
        <v>-7928.64</v>
      </c>
      <c r="K199" s="22">
        <f t="shared" si="3"/>
        <v>0</v>
      </c>
    </row>
    <row r="200" spans="1:11" ht="15.95" customHeight="1" x14ac:dyDescent="0.2">
      <c r="A200" s="139" t="s">
        <v>381</v>
      </c>
      <c r="B200" s="480" t="s">
        <v>382</v>
      </c>
      <c r="C200" s="476"/>
      <c r="D200" s="476"/>
      <c r="E200" s="155">
        <v>-265.91000000000003</v>
      </c>
      <c r="F200" s="155">
        <v>0</v>
      </c>
      <c r="G200" s="22"/>
      <c r="H200" s="155">
        <v>0</v>
      </c>
      <c r="I200" s="22"/>
      <c r="J200" s="155">
        <v>-265.91000000000003</v>
      </c>
      <c r="K200" s="22">
        <f t="shared" si="3"/>
        <v>0</v>
      </c>
    </row>
    <row r="201" spans="1:11" ht="15.95" customHeight="1" x14ac:dyDescent="0.2">
      <c r="A201" s="139" t="s">
        <v>383</v>
      </c>
      <c r="B201" s="480" t="s">
        <v>384</v>
      </c>
      <c r="C201" s="476"/>
      <c r="D201" s="476"/>
      <c r="E201" s="155">
        <v>-87964.72</v>
      </c>
      <c r="F201" s="155">
        <v>0</v>
      </c>
      <c r="G201" s="22"/>
      <c r="H201" s="155">
        <v>0</v>
      </c>
      <c r="I201" s="22"/>
      <c r="J201" s="155">
        <v>-87964.72</v>
      </c>
      <c r="K201" s="22">
        <f t="shared" si="3"/>
        <v>0</v>
      </c>
    </row>
    <row r="202" spans="1:11" ht="15.95" customHeight="1" x14ac:dyDescent="0.2">
      <c r="A202" s="139" t="s">
        <v>385</v>
      </c>
      <c r="B202" s="480" t="s">
        <v>386</v>
      </c>
      <c r="C202" s="476"/>
      <c r="D202" s="476"/>
      <c r="E202" s="155">
        <v>-1308138.05</v>
      </c>
      <c r="F202" s="155">
        <v>0</v>
      </c>
      <c r="G202" s="22"/>
      <c r="H202" s="155">
        <v>0</v>
      </c>
      <c r="I202" s="22"/>
      <c r="J202" s="155">
        <v>-1308138.05</v>
      </c>
      <c r="K202" s="22">
        <f t="shared" si="3"/>
        <v>0</v>
      </c>
    </row>
    <row r="203" spans="1:11" ht="15.95" customHeight="1" x14ac:dyDescent="0.2">
      <c r="A203" s="139" t="s">
        <v>387</v>
      </c>
      <c r="B203" s="480" t="s">
        <v>388</v>
      </c>
      <c r="C203" s="476"/>
      <c r="D203" s="476"/>
      <c r="E203" s="155">
        <v>-5840.17</v>
      </c>
      <c r="F203" s="155">
        <v>0</v>
      </c>
      <c r="G203" s="22"/>
      <c r="H203" s="155">
        <v>0</v>
      </c>
      <c r="I203" s="22"/>
      <c r="J203" s="155">
        <v>-5840.17</v>
      </c>
      <c r="K203" s="22">
        <f t="shared" si="3"/>
        <v>0</v>
      </c>
    </row>
    <row r="204" spans="1:11" ht="15.95" customHeight="1" x14ac:dyDescent="0.2">
      <c r="A204" s="139" t="s">
        <v>389</v>
      </c>
      <c r="B204" s="480" t="s">
        <v>390</v>
      </c>
      <c r="C204" s="476"/>
      <c r="D204" s="476"/>
      <c r="E204" s="155">
        <v>-385902.97</v>
      </c>
      <c r="F204" s="155">
        <v>0</v>
      </c>
      <c r="G204" s="22"/>
      <c r="H204" s="155">
        <v>0</v>
      </c>
      <c r="I204" s="22"/>
      <c r="J204" s="155">
        <v>-385902.97</v>
      </c>
      <c r="K204" s="22">
        <f t="shared" si="3"/>
        <v>0</v>
      </c>
    </row>
    <row r="205" spans="1:11" ht="15.95" customHeight="1" x14ac:dyDescent="0.2">
      <c r="A205" s="139" t="s">
        <v>391</v>
      </c>
      <c r="B205" s="480" t="s">
        <v>392</v>
      </c>
      <c r="C205" s="476"/>
      <c r="D205" s="476"/>
      <c r="E205" s="155">
        <v>-17386.990000000002</v>
      </c>
      <c r="F205" s="155">
        <v>0</v>
      </c>
      <c r="G205" s="22"/>
      <c r="H205" s="155">
        <v>0</v>
      </c>
      <c r="I205" s="22"/>
      <c r="J205" s="155">
        <v>-17386.990000000002</v>
      </c>
      <c r="K205" s="22">
        <f t="shared" si="3"/>
        <v>0</v>
      </c>
    </row>
    <row r="206" spans="1:11" ht="15.95" customHeight="1" x14ac:dyDescent="0.2">
      <c r="A206" s="139" t="s">
        <v>393</v>
      </c>
      <c r="B206" s="480" t="s">
        <v>394</v>
      </c>
      <c r="C206" s="476"/>
      <c r="D206" s="476"/>
      <c r="E206" s="155">
        <v>-56188.26</v>
      </c>
      <c r="F206" s="155">
        <v>0</v>
      </c>
      <c r="G206" s="22"/>
      <c r="H206" s="155">
        <v>0</v>
      </c>
      <c r="I206" s="22"/>
      <c r="J206" s="155">
        <v>-56188.26</v>
      </c>
      <c r="K206" s="22">
        <f t="shared" si="3"/>
        <v>0</v>
      </c>
    </row>
    <row r="207" spans="1:11" ht="15.95" customHeight="1" x14ac:dyDescent="0.2">
      <c r="A207" s="139" t="s">
        <v>395</v>
      </c>
      <c r="B207" s="480" t="s">
        <v>396</v>
      </c>
      <c r="C207" s="476"/>
      <c r="D207" s="476"/>
      <c r="E207" s="155">
        <v>-29270.35</v>
      </c>
      <c r="F207" s="155">
        <v>0</v>
      </c>
      <c r="G207" s="22"/>
      <c r="H207" s="155">
        <v>0</v>
      </c>
      <c r="I207" s="22"/>
      <c r="J207" s="155">
        <v>-29270.35</v>
      </c>
      <c r="K207" s="22">
        <f t="shared" si="3"/>
        <v>0</v>
      </c>
    </row>
    <row r="208" spans="1:11" ht="15.95" customHeight="1" x14ac:dyDescent="0.2">
      <c r="A208" s="139" t="s">
        <v>397</v>
      </c>
      <c r="B208" s="480" t="s">
        <v>398</v>
      </c>
      <c r="C208" s="476"/>
      <c r="D208" s="476"/>
      <c r="E208" s="155">
        <v>-233107.8</v>
      </c>
      <c r="F208" s="155">
        <v>0</v>
      </c>
      <c r="G208" s="22"/>
      <c r="H208" s="155">
        <v>0</v>
      </c>
      <c r="I208" s="22"/>
      <c r="J208" s="155">
        <v>-233107.8</v>
      </c>
      <c r="K208" s="22">
        <f t="shared" si="3"/>
        <v>0</v>
      </c>
    </row>
    <row r="209" spans="1:11" ht="15.95" customHeight="1" x14ac:dyDescent="0.2">
      <c r="A209" s="139">
        <v>12399</v>
      </c>
      <c r="B209" s="480" t="s">
        <v>399</v>
      </c>
      <c r="C209" s="476"/>
      <c r="D209" s="476"/>
      <c r="E209" s="155">
        <v>-93583495.219999999</v>
      </c>
      <c r="F209" s="155">
        <v>592754.09</v>
      </c>
      <c r="G209" s="22"/>
      <c r="H209" s="155">
        <v>11707200.84</v>
      </c>
      <c r="I209" s="22"/>
      <c r="J209" s="155">
        <v>-104697941.97</v>
      </c>
      <c r="K209" s="22">
        <f t="shared" si="3"/>
        <v>-11114446.75</v>
      </c>
    </row>
    <row r="210" spans="1:11" ht="15.95" customHeight="1" x14ac:dyDescent="0.2">
      <c r="A210" s="139">
        <v>1239901</v>
      </c>
      <c r="B210" s="480" t="s">
        <v>400</v>
      </c>
      <c r="C210" s="476"/>
      <c r="D210" s="476"/>
      <c r="E210" s="155">
        <v>-6785062</v>
      </c>
      <c r="F210" s="155">
        <v>0</v>
      </c>
      <c r="G210" s="22"/>
      <c r="H210" s="155">
        <v>958218.56</v>
      </c>
      <c r="I210" s="22"/>
      <c r="J210" s="155">
        <v>-7743280.5599999996</v>
      </c>
      <c r="K210" s="22">
        <f t="shared" si="3"/>
        <v>-958218.55999999959</v>
      </c>
    </row>
    <row r="211" spans="1:11" ht="15.95" customHeight="1" x14ac:dyDescent="0.2">
      <c r="A211" s="139" t="s">
        <v>401</v>
      </c>
      <c r="B211" s="480" t="s">
        <v>277</v>
      </c>
      <c r="C211" s="476"/>
      <c r="D211" s="476"/>
      <c r="E211" s="155">
        <v>-63718.080000000002</v>
      </c>
      <c r="F211" s="155">
        <v>0</v>
      </c>
      <c r="G211" s="22"/>
      <c r="H211" s="155">
        <v>228.33</v>
      </c>
      <c r="I211" s="22"/>
      <c r="J211" s="155">
        <v>-63946.41</v>
      </c>
      <c r="K211" s="22">
        <f t="shared" si="3"/>
        <v>-228.33000000000175</v>
      </c>
    </row>
    <row r="212" spans="1:11" ht="15.95" customHeight="1" x14ac:dyDescent="0.2">
      <c r="A212" s="139" t="s">
        <v>402</v>
      </c>
      <c r="B212" s="480" t="s">
        <v>279</v>
      </c>
      <c r="C212" s="476"/>
      <c r="D212" s="476"/>
      <c r="E212" s="155">
        <v>-12832.06</v>
      </c>
      <c r="F212" s="155">
        <v>0</v>
      </c>
      <c r="G212" s="22"/>
      <c r="H212" s="155">
        <v>0</v>
      </c>
      <c r="I212" s="22"/>
      <c r="J212" s="155">
        <v>-12832.06</v>
      </c>
      <c r="K212" s="22">
        <f t="shared" si="3"/>
        <v>0</v>
      </c>
    </row>
    <row r="213" spans="1:11" ht="15.95" customHeight="1" x14ac:dyDescent="0.2">
      <c r="A213" s="139" t="s">
        <v>403</v>
      </c>
      <c r="B213" s="480" t="s">
        <v>281</v>
      </c>
      <c r="C213" s="476"/>
      <c r="D213" s="476"/>
      <c r="E213" s="155">
        <v>-1049504.7</v>
      </c>
      <c r="F213" s="155">
        <v>0</v>
      </c>
      <c r="G213" s="22"/>
      <c r="H213" s="155">
        <v>87412.32</v>
      </c>
      <c r="I213" s="22"/>
      <c r="J213" s="155">
        <v>-1136917.02</v>
      </c>
      <c r="K213" s="22">
        <f t="shared" si="3"/>
        <v>-87412.320000000065</v>
      </c>
    </row>
    <row r="214" spans="1:11" ht="15.95" customHeight="1" x14ac:dyDescent="0.2">
      <c r="A214" s="139" t="s">
        <v>404</v>
      </c>
      <c r="B214" s="480" t="s">
        <v>283</v>
      </c>
      <c r="C214" s="476"/>
      <c r="D214" s="476"/>
      <c r="E214" s="155">
        <v>-3002342.31</v>
      </c>
      <c r="F214" s="155">
        <v>0</v>
      </c>
      <c r="G214" s="22"/>
      <c r="H214" s="155">
        <v>726831.36</v>
      </c>
      <c r="I214" s="22"/>
      <c r="J214" s="155">
        <v>-3729173.67</v>
      </c>
      <c r="K214" s="22">
        <f t="shared" si="3"/>
        <v>-726831.35999999987</v>
      </c>
    </row>
    <row r="215" spans="1:11" ht="15.95" customHeight="1" x14ac:dyDescent="0.2">
      <c r="A215" s="139" t="s">
        <v>405</v>
      </c>
      <c r="B215" s="480" t="s">
        <v>285</v>
      </c>
      <c r="C215" s="476"/>
      <c r="D215" s="476"/>
      <c r="E215" s="155">
        <v>-618975.63</v>
      </c>
      <c r="F215" s="155">
        <v>0</v>
      </c>
      <c r="G215" s="22"/>
      <c r="H215" s="155">
        <v>11904.27</v>
      </c>
      <c r="I215" s="22"/>
      <c r="J215" s="155">
        <v>-630879.9</v>
      </c>
      <c r="K215" s="22">
        <f t="shared" si="3"/>
        <v>-11904.270000000019</v>
      </c>
    </row>
    <row r="216" spans="1:11" ht="15.95" customHeight="1" x14ac:dyDescent="0.2">
      <c r="A216" s="139" t="s">
        <v>406</v>
      </c>
      <c r="B216" s="480" t="s">
        <v>289</v>
      </c>
      <c r="C216" s="476"/>
      <c r="D216" s="476"/>
      <c r="E216" s="155">
        <v>-1228147.96</v>
      </c>
      <c r="F216" s="155">
        <v>0</v>
      </c>
      <c r="G216" s="22"/>
      <c r="H216" s="155">
        <v>5080.09</v>
      </c>
      <c r="I216" s="22"/>
      <c r="J216" s="155">
        <v>-1233228.05</v>
      </c>
      <c r="K216" s="22">
        <f t="shared" si="3"/>
        <v>-5080.0900000000838</v>
      </c>
    </row>
    <row r="217" spans="1:11" ht="15.95" customHeight="1" x14ac:dyDescent="0.2">
      <c r="A217" s="139" t="s">
        <v>407</v>
      </c>
      <c r="B217" s="480" t="s">
        <v>287</v>
      </c>
      <c r="C217" s="476"/>
      <c r="D217" s="476"/>
      <c r="E217" s="155">
        <v>-76252.39</v>
      </c>
      <c r="F217" s="155">
        <v>0</v>
      </c>
      <c r="G217" s="22"/>
      <c r="H217" s="155">
        <v>8535.83</v>
      </c>
      <c r="I217" s="22"/>
      <c r="J217" s="155">
        <v>-84788.22</v>
      </c>
      <c r="K217" s="22">
        <f t="shared" si="3"/>
        <v>-8535.8300000000017</v>
      </c>
    </row>
    <row r="218" spans="1:11" ht="27.95" customHeight="1" x14ac:dyDescent="0.2">
      <c r="A218" s="139" t="s">
        <v>408</v>
      </c>
      <c r="B218" s="480" t="s">
        <v>291</v>
      </c>
      <c r="C218" s="476"/>
      <c r="D218" s="476"/>
      <c r="E218" s="155">
        <v>-673322.26</v>
      </c>
      <c r="F218" s="155">
        <v>0</v>
      </c>
      <c r="G218" s="22"/>
      <c r="H218" s="155">
        <v>28780.58</v>
      </c>
      <c r="I218" s="22"/>
      <c r="J218" s="155">
        <v>-702102.84</v>
      </c>
      <c r="K218" s="22">
        <f t="shared" si="3"/>
        <v>-28780.579999999958</v>
      </c>
    </row>
    <row r="219" spans="1:11" ht="15.95" customHeight="1" x14ac:dyDescent="0.2">
      <c r="A219" s="139" t="s">
        <v>409</v>
      </c>
      <c r="B219" s="480" t="s">
        <v>410</v>
      </c>
      <c r="C219" s="476"/>
      <c r="D219" s="476"/>
      <c r="E219" s="155">
        <v>-10770.26</v>
      </c>
      <c r="F219" s="155">
        <v>0</v>
      </c>
      <c r="G219" s="22"/>
      <c r="H219" s="155">
        <v>892.35</v>
      </c>
      <c r="I219" s="22"/>
      <c r="J219" s="155">
        <v>-11662.61</v>
      </c>
      <c r="K219" s="22">
        <f t="shared" si="3"/>
        <v>-892.35000000000036</v>
      </c>
    </row>
    <row r="220" spans="1:11" ht="15.95" customHeight="1" x14ac:dyDescent="0.2">
      <c r="A220" s="139" t="s">
        <v>411</v>
      </c>
      <c r="B220" s="480" t="s">
        <v>295</v>
      </c>
      <c r="C220" s="476"/>
      <c r="D220" s="476"/>
      <c r="E220" s="155">
        <v>-49196.35</v>
      </c>
      <c r="F220" s="155">
        <v>0</v>
      </c>
      <c r="G220" s="22"/>
      <c r="H220" s="155">
        <v>88553.43</v>
      </c>
      <c r="I220" s="22"/>
      <c r="J220" s="155">
        <v>-137749.78</v>
      </c>
      <c r="K220" s="22">
        <f t="shared" si="3"/>
        <v>-88553.43</v>
      </c>
    </row>
    <row r="221" spans="1:11" ht="15.95" customHeight="1" x14ac:dyDescent="0.2">
      <c r="A221" s="139">
        <v>1239902</v>
      </c>
      <c r="B221" s="480" t="s">
        <v>412</v>
      </c>
      <c r="C221" s="476"/>
      <c r="D221" s="476"/>
      <c r="E221" s="155">
        <v>-62790369.060000002</v>
      </c>
      <c r="F221" s="155">
        <v>0</v>
      </c>
      <c r="G221" s="22"/>
      <c r="H221" s="155">
        <v>3229797.23</v>
      </c>
      <c r="I221" s="22"/>
      <c r="J221" s="155">
        <v>-66020166.289999999</v>
      </c>
      <c r="K221" s="22">
        <f t="shared" si="3"/>
        <v>-3229797.2299999967</v>
      </c>
    </row>
    <row r="222" spans="1:11" ht="15.95" customHeight="1" x14ac:dyDescent="0.2">
      <c r="A222" s="139" t="s">
        <v>413</v>
      </c>
      <c r="B222" s="480" t="s">
        <v>300</v>
      </c>
      <c r="C222" s="476"/>
      <c r="D222" s="476"/>
      <c r="E222" s="155">
        <v>-6844009.71</v>
      </c>
      <c r="F222" s="155">
        <v>0</v>
      </c>
      <c r="G222" s="22"/>
      <c r="H222" s="155">
        <v>346055.08</v>
      </c>
      <c r="I222" s="22"/>
      <c r="J222" s="155">
        <v>-7190064.79</v>
      </c>
      <c r="K222" s="22">
        <f t="shared" si="3"/>
        <v>-346055.08000000007</v>
      </c>
    </row>
    <row r="223" spans="1:11" ht="15.95" customHeight="1" x14ac:dyDescent="0.2">
      <c r="A223" s="139" t="s">
        <v>414</v>
      </c>
      <c r="B223" s="480" t="s">
        <v>302</v>
      </c>
      <c r="C223" s="476"/>
      <c r="D223" s="476"/>
      <c r="E223" s="155">
        <v>-4450.58</v>
      </c>
      <c r="F223" s="155">
        <v>0</v>
      </c>
      <c r="G223" s="22"/>
      <c r="H223" s="155">
        <v>0</v>
      </c>
      <c r="I223" s="22"/>
      <c r="J223" s="155">
        <v>-4450.58</v>
      </c>
      <c r="K223" s="22">
        <f t="shared" si="3"/>
        <v>0</v>
      </c>
    </row>
    <row r="224" spans="1:11" ht="15.95" customHeight="1" x14ac:dyDescent="0.2">
      <c r="A224" s="139" t="s">
        <v>415</v>
      </c>
      <c r="B224" s="480" t="s">
        <v>304</v>
      </c>
      <c r="C224" s="476"/>
      <c r="D224" s="476"/>
      <c r="E224" s="155">
        <v>-882055.02</v>
      </c>
      <c r="F224" s="155">
        <v>0</v>
      </c>
      <c r="G224" s="22"/>
      <c r="H224" s="155">
        <v>581025.42000000004</v>
      </c>
      <c r="I224" s="22"/>
      <c r="J224" s="155">
        <v>-1463080.44</v>
      </c>
      <c r="K224" s="22">
        <f t="shared" si="3"/>
        <v>-581025.41999999993</v>
      </c>
    </row>
    <row r="225" spans="1:11" ht="15.95" customHeight="1" x14ac:dyDescent="0.2">
      <c r="A225" s="139" t="s">
        <v>416</v>
      </c>
      <c r="B225" s="480" t="s">
        <v>306</v>
      </c>
      <c r="C225" s="476"/>
      <c r="D225" s="476"/>
      <c r="E225" s="155">
        <v>-34562059.960000001</v>
      </c>
      <c r="F225" s="155">
        <v>0</v>
      </c>
      <c r="G225" s="22"/>
      <c r="H225" s="155">
        <v>1121937.04</v>
      </c>
      <c r="I225" s="22"/>
      <c r="J225" s="155">
        <v>-35683997</v>
      </c>
      <c r="K225" s="22">
        <f t="shared" si="3"/>
        <v>-1121937.0399999991</v>
      </c>
    </row>
    <row r="226" spans="1:11" ht="15.95" customHeight="1" x14ac:dyDescent="0.2">
      <c r="A226" s="139" t="s">
        <v>417</v>
      </c>
      <c r="B226" s="480" t="s">
        <v>308</v>
      </c>
      <c r="C226" s="476"/>
      <c r="D226" s="476"/>
      <c r="E226" s="155">
        <v>-9953567.0099999998</v>
      </c>
      <c r="F226" s="155">
        <v>0</v>
      </c>
      <c r="G226" s="22"/>
      <c r="H226" s="155">
        <v>517528.26</v>
      </c>
      <c r="I226" s="22"/>
      <c r="J226" s="155">
        <v>-10471095.27</v>
      </c>
      <c r="K226" s="22">
        <f t="shared" si="3"/>
        <v>-517528.25999999978</v>
      </c>
    </row>
    <row r="227" spans="1:11" ht="15.95" customHeight="1" x14ac:dyDescent="0.2">
      <c r="A227" s="139" t="s">
        <v>418</v>
      </c>
      <c r="B227" s="480" t="s">
        <v>310</v>
      </c>
      <c r="C227" s="476"/>
      <c r="D227" s="476"/>
      <c r="E227" s="155">
        <v>-462595.76</v>
      </c>
      <c r="F227" s="155">
        <v>0</v>
      </c>
      <c r="G227" s="22"/>
      <c r="H227" s="155">
        <v>16088.19</v>
      </c>
      <c r="I227" s="22"/>
      <c r="J227" s="155">
        <v>-478683.95</v>
      </c>
      <c r="K227" s="22">
        <f t="shared" si="3"/>
        <v>-16088.190000000002</v>
      </c>
    </row>
    <row r="228" spans="1:11" ht="15.95" customHeight="1" x14ac:dyDescent="0.2">
      <c r="A228" s="139" t="s">
        <v>419</v>
      </c>
      <c r="B228" s="480" t="s">
        <v>312</v>
      </c>
      <c r="C228" s="476"/>
      <c r="D228" s="476"/>
      <c r="E228" s="155">
        <v>-95202.46</v>
      </c>
      <c r="F228" s="155">
        <v>0</v>
      </c>
      <c r="G228" s="22"/>
      <c r="H228" s="155">
        <v>0</v>
      </c>
      <c r="I228" s="22"/>
      <c r="J228" s="155">
        <v>-95202.46</v>
      </c>
      <c r="K228" s="22">
        <f t="shared" si="3"/>
        <v>0</v>
      </c>
    </row>
    <row r="229" spans="1:11" ht="15.95" customHeight="1" x14ac:dyDescent="0.2">
      <c r="A229" s="139" t="s">
        <v>420</v>
      </c>
      <c r="B229" s="480" t="s">
        <v>316</v>
      </c>
      <c r="C229" s="476"/>
      <c r="D229" s="476"/>
      <c r="E229" s="155">
        <v>-5774334.9000000004</v>
      </c>
      <c r="F229" s="155">
        <v>0</v>
      </c>
      <c r="G229" s="22"/>
      <c r="H229" s="155">
        <v>308819.99</v>
      </c>
      <c r="I229" s="22"/>
      <c r="J229" s="155">
        <v>-6083154.8899999997</v>
      </c>
      <c r="K229" s="22">
        <f t="shared" si="3"/>
        <v>-308819.98999999929</v>
      </c>
    </row>
    <row r="230" spans="1:11" ht="15.95" customHeight="1" x14ac:dyDescent="0.2">
      <c r="A230" s="139" t="s">
        <v>421</v>
      </c>
      <c r="B230" s="480" t="s">
        <v>318</v>
      </c>
      <c r="C230" s="476"/>
      <c r="D230" s="476"/>
      <c r="E230" s="155">
        <v>-905338.24</v>
      </c>
      <c r="F230" s="155">
        <v>0</v>
      </c>
      <c r="G230" s="22"/>
      <c r="H230" s="155">
        <v>0</v>
      </c>
      <c r="I230" s="22"/>
      <c r="J230" s="155">
        <v>-905338.24</v>
      </c>
      <c r="K230" s="22">
        <f t="shared" si="3"/>
        <v>0</v>
      </c>
    </row>
    <row r="231" spans="1:11" ht="15.95" customHeight="1" x14ac:dyDescent="0.2">
      <c r="A231" s="139" t="s">
        <v>422</v>
      </c>
      <c r="B231" s="480" t="s">
        <v>320</v>
      </c>
      <c r="C231" s="476"/>
      <c r="D231" s="476"/>
      <c r="E231" s="155">
        <v>-397720.94</v>
      </c>
      <c r="F231" s="155">
        <v>0</v>
      </c>
      <c r="G231" s="22"/>
      <c r="H231" s="155">
        <v>31990.68</v>
      </c>
      <c r="I231" s="22"/>
      <c r="J231" s="155">
        <v>-429711.62</v>
      </c>
      <c r="K231" s="22">
        <f t="shared" si="3"/>
        <v>-31990.679999999993</v>
      </c>
    </row>
    <row r="232" spans="1:11" ht="15.95" customHeight="1" x14ac:dyDescent="0.2">
      <c r="A232" s="139" t="s">
        <v>423</v>
      </c>
      <c r="B232" s="480" t="s">
        <v>322</v>
      </c>
      <c r="C232" s="476"/>
      <c r="D232" s="476"/>
      <c r="E232" s="155">
        <v>-123943.43</v>
      </c>
      <c r="F232" s="155">
        <v>0</v>
      </c>
      <c r="G232" s="22"/>
      <c r="H232" s="155">
        <v>0</v>
      </c>
      <c r="I232" s="22"/>
      <c r="J232" s="155">
        <v>-123943.43</v>
      </c>
      <c r="K232" s="22">
        <f t="shared" si="3"/>
        <v>0</v>
      </c>
    </row>
    <row r="233" spans="1:11" ht="15.95" customHeight="1" x14ac:dyDescent="0.2">
      <c r="A233" s="139" t="s">
        <v>424</v>
      </c>
      <c r="B233" s="480" t="s">
        <v>425</v>
      </c>
      <c r="C233" s="476"/>
      <c r="D233" s="476"/>
      <c r="E233" s="155">
        <v>-13925.73</v>
      </c>
      <c r="F233" s="155">
        <v>0</v>
      </c>
      <c r="G233" s="22"/>
      <c r="H233" s="155">
        <v>0</v>
      </c>
      <c r="I233" s="22"/>
      <c r="J233" s="155">
        <v>-13925.73</v>
      </c>
      <c r="K233" s="22">
        <f t="shared" si="3"/>
        <v>0</v>
      </c>
    </row>
    <row r="234" spans="1:11" ht="15.95" customHeight="1" x14ac:dyDescent="0.2">
      <c r="A234" s="139" t="s">
        <v>426</v>
      </c>
      <c r="B234" s="480" t="s">
        <v>427</v>
      </c>
      <c r="C234" s="476"/>
      <c r="D234" s="476"/>
      <c r="E234" s="155">
        <v>-1970.82</v>
      </c>
      <c r="F234" s="155">
        <v>0</v>
      </c>
      <c r="G234" s="22"/>
      <c r="H234" s="155">
        <v>0</v>
      </c>
      <c r="I234" s="22"/>
      <c r="J234" s="155">
        <v>-1970.82</v>
      </c>
      <c r="K234" s="22">
        <f t="shared" si="3"/>
        <v>0</v>
      </c>
    </row>
    <row r="235" spans="1:11" ht="15.95" customHeight="1" x14ac:dyDescent="0.2">
      <c r="A235" s="139" t="s">
        <v>428</v>
      </c>
      <c r="B235" s="480" t="s">
        <v>429</v>
      </c>
      <c r="C235" s="476"/>
      <c r="D235" s="476"/>
      <c r="E235" s="155">
        <v>-463570.73</v>
      </c>
      <c r="F235" s="155">
        <v>0</v>
      </c>
      <c r="G235" s="22"/>
      <c r="H235" s="155">
        <v>4904.29</v>
      </c>
      <c r="I235" s="22"/>
      <c r="J235" s="155">
        <v>-468475.02</v>
      </c>
      <c r="K235" s="22">
        <f t="shared" si="3"/>
        <v>-4904.2900000000373</v>
      </c>
    </row>
    <row r="236" spans="1:11" ht="15.95" customHeight="1" x14ac:dyDescent="0.2">
      <c r="A236" s="139" t="s">
        <v>430</v>
      </c>
      <c r="B236" s="480" t="s">
        <v>431</v>
      </c>
      <c r="C236" s="476"/>
      <c r="D236" s="476"/>
      <c r="E236" s="155">
        <v>-1139444.5900000001</v>
      </c>
      <c r="F236" s="155">
        <v>0</v>
      </c>
      <c r="G236" s="22"/>
      <c r="H236" s="155">
        <v>24480.03</v>
      </c>
      <c r="I236" s="22"/>
      <c r="J236" s="155">
        <v>-1163924.6200000001</v>
      </c>
      <c r="K236" s="22">
        <f t="shared" si="3"/>
        <v>-24480.030000000028</v>
      </c>
    </row>
    <row r="237" spans="1:11" ht="15.95" customHeight="1" x14ac:dyDescent="0.2">
      <c r="A237" s="139" t="s">
        <v>432</v>
      </c>
      <c r="B237" s="480" t="s">
        <v>336</v>
      </c>
      <c r="C237" s="476"/>
      <c r="D237" s="476"/>
      <c r="E237" s="155">
        <v>-1041793.03</v>
      </c>
      <c r="F237" s="155">
        <v>0</v>
      </c>
      <c r="G237" s="22"/>
      <c r="H237" s="155">
        <v>117043.2</v>
      </c>
      <c r="I237" s="22"/>
      <c r="J237" s="155">
        <v>-1158836.23</v>
      </c>
      <c r="K237" s="22">
        <f t="shared" si="3"/>
        <v>-117043.19999999995</v>
      </c>
    </row>
    <row r="238" spans="1:11" ht="15.95" customHeight="1" x14ac:dyDescent="0.2">
      <c r="A238" s="139" t="s">
        <v>433</v>
      </c>
      <c r="B238" s="480" t="s">
        <v>338</v>
      </c>
      <c r="C238" s="476"/>
      <c r="D238" s="476"/>
      <c r="E238" s="155">
        <v>-124386.15</v>
      </c>
      <c r="F238" s="155">
        <v>0</v>
      </c>
      <c r="G238" s="22"/>
      <c r="H238" s="155">
        <v>159925.04999999999</v>
      </c>
      <c r="I238" s="22"/>
      <c r="J238" s="155">
        <v>-284311.2</v>
      </c>
      <c r="K238" s="22">
        <f t="shared" si="3"/>
        <v>-159925.05000000002</v>
      </c>
    </row>
    <row r="239" spans="1:11" ht="15.95" customHeight="1" x14ac:dyDescent="0.2">
      <c r="A239" s="139">
        <v>1239903</v>
      </c>
      <c r="B239" s="480" t="s">
        <v>434</v>
      </c>
      <c r="C239" s="476"/>
      <c r="D239" s="476"/>
      <c r="E239" s="155">
        <v>6594335.6600000001</v>
      </c>
      <c r="F239" s="155">
        <v>592754.09</v>
      </c>
      <c r="G239" s="22"/>
      <c r="H239" s="155">
        <v>73688.990000000005</v>
      </c>
      <c r="I239" s="22"/>
      <c r="J239" s="155">
        <v>7113400.7599999998</v>
      </c>
      <c r="K239" s="22">
        <f t="shared" si="3"/>
        <v>519065.09999999963</v>
      </c>
    </row>
    <row r="240" spans="1:11" ht="15.95" customHeight="1" x14ac:dyDescent="0.2">
      <c r="A240" s="139" t="s">
        <v>435</v>
      </c>
      <c r="B240" s="480" t="s">
        <v>300</v>
      </c>
      <c r="C240" s="476"/>
      <c r="D240" s="476"/>
      <c r="E240" s="155">
        <v>1599777.6</v>
      </c>
      <c r="F240" s="155">
        <v>147812.32</v>
      </c>
      <c r="G240" s="22"/>
      <c r="H240" s="155">
        <v>18208.169999999998</v>
      </c>
      <c r="I240" s="22"/>
      <c r="J240" s="155">
        <v>1729381.75</v>
      </c>
      <c r="K240" s="22">
        <f t="shared" si="3"/>
        <v>129604.14999999991</v>
      </c>
    </row>
    <row r="241" spans="1:11" ht="15.95" customHeight="1" x14ac:dyDescent="0.2">
      <c r="A241" s="139" t="s">
        <v>436</v>
      </c>
      <c r="B241" s="480" t="s">
        <v>304</v>
      </c>
      <c r="C241" s="476"/>
      <c r="D241" s="476"/>
      <c r="E241" s="155">
        <v>212918.48</v>
      </c>
      <c r="F241" s="155">
        <v>117072.64</v>
      </c>
      <c r="G241" s="22"/>
      <c r="H241" s="155">
        <v>14508.83</v>
      </c>
      <c r="I241" s="22"/>
      <c r="J241" s="155">
        <v>315482.28999999998</v>
      </c>
      <c r="K241" s="22">
        <f t="shared" si="3"/>
        <v>102563.80999999997</v>
      </c>
    </row>
    <row r="242" spans="1:11" ht="15.95" customHeight="1" x14ac:dyDescent="0.2">
      <c r="A242" s="139" t="s">
        <v>437</v>
      </c>
      <c r="B242" s="480" t="s">
        <v>306</v>
      </c>
      <c r="C242" s="476"/>
      <c r="D242" s="476"/>
      <c r="E242" s="155">
        <v>4765989.09</v>
      </c>
      <c r="F242" s="155">
        <v>327869.13</v>
      </c>
      <c r="G242" s="22"/>
      <c r="H242" s="155">
        <v>40971.99</v>
      </c>
      <c r="I242" s="22"/>
      <c r="J242" s="155">
        <v>5052886.2300000004</v>
      </c>
      <c r="K242" s="22">
        <f t="shared" si="3"/>
        <v>286897.1400000006</v>
      </c>
    </row>
    <row r="243" spans="1:11" ht="15.95" customHeight="1" x14ac:dyDescent="0.2">
      <c r="A243" s="139" t="s">
        <v>438</v>
      </c>
      <c r="B243" s="480" t="s">
        <v>318</v>
      </c>
      <c r="C243" s="476"/>
      <c r="D243" s="476"/>
      <c r="E243" s="155">
        <v>15650.49</v>
      </c>
      <c r="F243" s="155">
        <v>0</v>
      </c>
      <c r="G243" s="22"/>
      <c r="H243" s="155">
        <v>0</v>
      </c>
      <c r="I243" s="22"/>
      <c r="J243" s="155">
        <v>15650.49</v>
      </c>
      <c r="K243" s="22">
        <f t="shared" si="3"/>
        <v>0</v>
      </c>
    </row>
    <row r="244" spans="1:11" ht="15.95" customHeight="1" x14ac:dyDescent="0.2">
      <c r="A244" s="139">
        <v>1239904</v>
      </c>
      <c r="B244" s="480" t="s">
        <v>439</v>
      </c>
      <c r="C244" s="476"/>
      <c r="D244" s="476"/>
      <c r="E244" s="155">
        <v>-30602399.82</v>
      </c>
      <c r="F244" s="155">
        <v>0</v>
      </c>
      <c r="G244" s="22"/>
      <c r="H244" s="155">
        <v>7445496.0599999996</v>
      </c>
      <c r="I244" s="22"/>
      <c r="J244" s="155">
        <v>-38047895.880000003</v>
      </c>
      <c r="K244" s="22">
        <f t="shared" si="3"/>
        <v>-7445496.0600000024</v>
      </c>
    </row>
    <row r="245" spans="1:11" ht="15.95" customHeight="1" x14ac:dyDescent="0.2">
      <c r="A245" s="139" t="s">
        <v>440</v>
      </c>
      <c r="B245" s="480" t="s">
        <v>441</v>
      </c>
      <c r="C245" s="476"/>
      <c r="D245" s="476"/>
      <c r="E245" s="155">
        <v>-28603968.030000001</v>
      </c>
      <c r="F245" s="155">
        <v>0</v>
      </c>
      <c r="G245" s="22"/>
      <c r="H245" s="155">
        <v>6959391.0300000003</v>
      </c>
      <c r="I245" s="22"/>
      <c r="J245" s="155">
        <v>-35563359.060000002</v>
      </c>
      <c r="K245" s="22">
        <f t="shared" si="3"/>
        <v>-6959391.0300000012</v>
      </c>
    </row>
    <row r="246" spans="1:11" ht="15.95" customHeight="1" x14ac:dyDescent="0.2">
      <c r="A246" s="139" t="s">
        <v>442</v>
      </c>
      <c r="B246" s="480" t="s">
        <v>443</v>
      </c>
      <c r="C246" s="476"/>
      <c r="D246" s="476"/>
      <c r="E246" s="155">
        <v>-337310.5</v>
      </c>
      <c r="F246" s="155">
        <v>0</v>
      </c>
      <c r="G246" s="22"/>
      <c r="H246" s="155">
        <v>82048.5</v>
      </c>
      <c r="I246" s="22"/>
      <c r="J246" s="155">
        <v>-419359</v>
      </c>
      <c r="K246" s="22">
        <f t="shared" si="3"/>
        <v>-82048.5</v>
      </c>
    </row>
    <row r="247" spans="1:11" ht="15.95" customHeight="1" x14ac:dyDescent="0.2">
      <c r="A247" s="139" t="s">
        <v>444</v>
      </c>
      <c r="B247" s="480" t="s">
        <v>355</v>
      </c>
      <c r="C247" s="476"/>
      <c r="D247" s="476"/>
      <c r="E247" s="155">
        <v>-1089358.81</v>
      </c>
      <c r="F247" s="155">
        <v>0</v>
      </c>
      <c r="G247" s="22"/>
      <c r="H247" s="155">
        <v>264979.17</v>
      </c>
      <c r="I247" s="22"/>
      <c r="J247" s="155">
        <v>-1354337.98</v>
      </c>
      <c r="K247" s="22">
        <f t="shared" si="3"/>
        <v>-264979.16999999993</v>
      </c>
    </row>
    <row r="248" spans="1:11" ht="15.95" customHeight="1" x14ac:dyDescent="0.2">
      <c r="A248" s="139" t="s">
        <v>445</v>
      </c>
      <c r="B248" s="480" t="s">
        <v>357</v>
      </c>
      <c r="C248" s="476"/>
      <c r="D248" s="476"/>
      <c r="E248" s="155">
        <v>-4125.5</v>
      </c>
      <c r="F248" s="155">
        <v>0</v>
      </c>
      <c r="G248" s="22"/>
      <c r="H248" s="155">
        <v>1003.5</v>
      </c>
      <c r="I248" s="22"/>
      <c r="J248" s="155">
        <v>-5129</v>
      </c>
      <c r="K248" s="22">
        <f t="shared" si="3"/>
        <v>-1003.5</v>
      </c>
    </row>
    <row r="249" spans="1:11" ht="15.95" customHeight="1" x14ac:dyDescent="0.2">
      <c r="A249" s="139" t="s">
        <v>446</v>
      </c>
      <c r="B249" s="480" t="s">
        <v>447</v>
      </c>
      <c r="C249" s="476"/>
      <c r="D249" s="476"/>
      <c r="E249" s="155">
        <v>-567636.98</v>
      </c>
      <c r="F249" s="155">
        <v>0</v>
      </c>
      <c r="G249" s="22"/>
      <c r="H249" s="155">
        <v>138073.85999999999</v>
      </c>
      <c r="I249" s="22"/>
      <c r="J249" s="155">
        <v>-705710.84</v>
      </c>
      <c r="K249" s="22">
        <f t="shared" si="3"/>
        <v>-138073.85999999999</v>
      </c>
    </row>
    <row r="250" spans="1:11" ht="15.95" customHeight="1" x14ac:dyDescent="0.2">
      <c r="A250" s="139">
        <v>124</v>
      </c>
      <c r="B250" s="480" t="s">
        <v>448</v>
      </c>
      <c r="C250" s="476"/>
      <c r="D250" s="476"/>
      <c r="E250" s="155">
        <v>1004571.66</v>
      </c>
      <c r="F250" s="155">
        <v>229335</v>
      </c>
      <c r="G250" s="22"/>
      <c r="H250" s="155">
        <v>339994.82</v>
      </c>
      <c r="I250" s="22"/>
      <c r="J250" s="155">
        <v>893911.84</v>
      </c>
      <c r="K250" s="22">
        <f t="shared" si="3"/>
        <v>-110659.82000000007</v>
      </c>
    </row>
    <row r="251" spans="1:11" ht="15.95" customHeight="1" x14ac:dyDescent="0.2">
      <c r="A251" s="141">
        <v>12401</v>
      </c>
      <c r="B251" s="481" t="s">
        <v>448</v>
      </c>
      <c r="C251" s="482"/>
      <c r="D251" s="482"/>
      <c r="E251" s="156">
        <v>7580561.1799999997</v>
      </c>
      <c r="F251" s="156">
        <v>229335</v>
      </c>
      <c r="G251" s="25"/>
      <c r="H251" s="156">
        <v>0</v>
      </c>
      <c r="I251" s="25"/>
      <c r="J251" s="156">
        <v>7809896.1799999997</v>
      </c>
      <c r="K251" s="25">
        <f t="shared" si="3"/>
        <v>229335</v>
      </c>
    </row>
    <row r="252" spans="1:11" ht="15.95" customHeight="1" x14ac:dyDescent="0.2">
      <c r="A252" s="139">
        <v>1240101</v>
      </c>
      <c r="B252" s="480" t="s">
        <v>448</v>
      </c>
      <c r="C252" s="476"/>
      <c r="D252" s="476"/>
      <c r="E252" s="155">
        <v>7580561.1799999997</v>
      </c>
      <c r="F252" s="155">
        <v>229335</v>
      </c>
      <c r="G252" s="22"/>
      <c r="H252" s="155">
        <v>0</v>
      </c>
      <c r="I252" s="22"/>
      <c r="J252" s="155">
        <v>7809896.1799999997</v>
      </c>
      <c r="K252" s="22">
        <f t="shared" si="3"/>
        <v>229335</v>
      </c>
    </row>
    <row r="253" spans="1:11" ht="15.95" customHeight="1" x14ac:dyDescent="0.2">
      <c r="A253" s="139" t="s">
        <v>449</v>
      </c>
      <c r="B253" s="480" t="s">
        <v>450</v>
      </c>
      <c r="C253" s="476"/>
      <c r="D253" s="476"/>
      <c r="E253" s="155">
        <v>7580561.1799999997</v>
      </c>
      <c r="F253" s="155">
        <v>229335</v>
      </c>
      <c r="G253" s="22"/>
      <c r="H253" s="155">
        <v>0</v>
      </c>
      <c r="I253" s="22"/>
      <c r="J253" s="155">
        <v>7809896.1799999997</v>
      </c>
      <c r="K253" s="22">
        <f t="shared" si="3"/>
        <v>229335</v>
      </c>
    </row>
    <row r="254" spans="1:11" ht="15.95" customHeight="1" x14ac:dyDescent="0.2">
      <c r="A254" s="139">
        <v>12499</v>
      </c>
      <c r="B254" s="480" t="s">
        <v>451</v>
      </c>
      <c r="C254" s="476"/>
      <c r="D254" s="476"/>
      <c r="E254" s="155">
        <v>-6575989.5199999996</v>
      </c>
      <c r="F254" s="155">
        <v>0</v>
      </c>
      <c r="G254" s="22"/>
      <c r="H254" s="155">
        <v>339994.82</v>
      </c>
      <c r="I254" s="22"/>
      <c r="J254" s="155">
        <v>-6915984.3399999999</v>
      </c>
      <c r="K254" s="22">
        <f t="shared" si="3"/>
        <v>-339994.8200000003</v>
      </c>
    </row>
    <row r="255" spans="1:11" ht="15.95" customHeight="1" x14ac:dyDescent="0.2">
      <c r="A255" s="139">
        <v>1249901</v>
      </c>
      <c r="B255" s="480" t="s">
        <v>451</v>
      </c>
      <c r="C255" s="476"/>
      <c r="D255" s="476"/>
      <c r="E255" s="155">
        <v>-6574460.2400000002</v>
      </c>
      <c r="F255" s="155">
        <v>0</v>
      </c>
      <c r="G255" s="22"/>
      <c r="H255" s="155">
        <v>339994.82</v>
      </c>
      <c r="I255" s="22"/>
      <c r="J255" s="155">
        <v>-6914455.0599999996</v>
      </c>
      <c r="K255" s="22">
        <f t="shared" si="3"/>
        <v>-339994.81999999937</v>
      </c>
    </row>
    <row r="256" spans="1:11" ht="15.95" customHeight="1" x14ac:dyDescent="0.2">
      <c r="A256" s="139" t="s">
        <v>452</v>
      </c>
      <c r="B256" s="480" t="s">
        <v>450</v>
      </c>
      <c r="C256" s="476"/>
      <c r="D256" s="476"/>
      <c r="E256" s="155">
        <v>-6574460.2400000002</v>
      </c>
      <c r="F256" s="155">
        <v>0</v>
      </c>
      <c r="G256" s="22"/>
      <c r="H256" s="155">
        <v>339994.82</v>
      </c>
      <c r="I256" s="22"/>
      <c r="J256" s="155">
        <v>-6914455.0599999996</v>
      </c>
      <c r="K256" s="22">
        <f t="shared" si="3"/>
        <v>-339994.81999999937</v>
      </c>
    </row>
    <row r="257" spans="1:11" ht="15.95" customHeight="1" x14ac:dyDescent="0.2">
      <c r="A257" s="139">
        <v>1249902</v>
      </c>
      <c r="B257" s="480" t="s">
        <v>453</v>
      </c>
      <c r="C257" s="476"/>
      <c r="D257" s="476"/>
      <c r="E257" s="155">
        <v>-1529.28</v>
      </c>
      <c r="F257" s="155">
        <v>0</v>
      </c>
      <c r="G257" s="22"/>
      <c r="H257" s="155">
        <v>0</v>
      </c>
      <c r="I257" s="22"/>
      <c r="J257" s="155">
        <v>-1529.28</v>
      </c>
      <c r="K257" s="22">
        <f t="shared" si="3"/>
        <v>0</v>
      </c>
    </row>
    <row r="258" spans="1:11" ht="15.95" customHeight="1" x14ac:dyDescent="0.2">
      <c r="A258" s="139" t="s">
        <v>454</v>
      </c>
      <c r="B258" s="480" t="s">
        <v>453</v>
      </c>
      <c r="C258" s="476"/>
      <c r="D258" s="476"/>
      <c r="E258" s="155">
        <v>-1529.28</v>
      </c>
      <c r="F258" s="155">
        <v>0</v>
      </c>
      <c r="G258" s="22"/>
      <c r="H258" s="155">
        <v>0</v>
      </c>
      <c r="I258" s="22"/>
      <c r="J258" s="155">
        <v>-1529.28</v>
      </c>
      <c r="K258" s="22">
        <f t="shared" si="3"/>
        <v>0</v>
      </c>
    </row>
    <row r="259" spans="1:11" ht="15.95" customHeight="1" x14ac:dyDescent="0.2">
      <c r="A259" s="139">
        <v>13</v>
      </c>
      <c r="B259" s="480" t="s">
        <v>455</v>
      </c>
      <c r="C259" s="476"/>
      <c r="D259" s="476"/>
      <c r="E259" s="155">
        <v>1236717.49</v>
      </c>
      <c r="F259" s="155">
        <v>0</v>
      </c>
      <c r="G259" s="22"/>
      <c r="H259" s="155">
        <v>0</v>
      </c>
      <c r="I259" s="22"/>
      <c r="J259" s="155">
        <v>1236717.49</v>
      </c>
      <c r="K259" s="22">
        <f t="shared" si="3"/>
        <v>0</v>
      </c>
    </row>
    <row r="260" spans="1:11" ht="15.95" customHeight="1" x14ac:dyDescent="0.2">
      <c r="A260" s="139">
        <v>131</v>
      </c>
      <c r="B260" s="480" t="s">
        <v>456</v>
      </c>
      <c r="C260" s="476"/>
      <c r="D260" s="476"/>
      <c r="E260" s="155">
        <v>1236717.49</v>
      </c>
      <c r="F260" s="155">
        <v>0</v>
      </c>
      <c r="G260" s="22"/>
      <c r="H260" s="155">
        <v>0</v>
      </c>
      <c r="I260" s="22"/>
      <c r="J260" s="155">
        <v>1236717.49</v>
      </c>
      <c r="K260" s="22">
        <f t="shared" ref="K260:K323" si="4">J260-E260</f>
        <v>0</v>
      </c>
    </row>
    <row r="261" spans="1:11" ht="15.95" customHeight="1" x14ac:dyDescent="0.2">
      <c r="A261" s="139">
        <v>13101</v>
      </c>
      <c r="B261" s="480" t="s">
        <v>344</v>
      </c>
      <c r="C261" s="476"/>
      <c r="D261" s="476"/>
      <c r="E261" s="155">
        <v>1236717.49</v>
      </c>
      <c r="F261" s="155">
        <v>0</v>
      </c>
      <c r="G261" s="22"/>
      <c r="H261" s="155">
        <v>0</v>
      </c>
      <c r="I261" s="22"/>
      <c r="J261" s="155">
        <v>1236717.49</v>
      </c>
      <c r="K261" s="22">
        <f t="shared" si="4"/>
        <v>0</v>
      </c>
    </row>
    <row r="262" spans="1:11" ht="15.95" customHeight="1" x14ac:dyDescent="0.2">
      <c r="A262" s="139">
        <v>1310101</v>
      </c>
      <c r="B262" s="480" t="s">
        <v>457</v>
      </c>
      <c r="C262" s="476"/>
      <c r="D262" s="476"/>
      <c r="E262" s="155">
        <v>1236717.49</v>
      </c>
      <c r="F262" s="155">
        <v>0</v>
      </c>
      <c r="G262" s="22"/>
      <c r="H262" s="155">
        <v>0</v>
      </c>
      <c r="I262" s="22"/>
      <c r="J262" s="155">
        <v>1236717.49</v>
      </c>
      <c r="K262" s="22">
        <f t="shared" si="4"/>
        <v>0</v>
      </c>
    </row>
    <row r="263" spans="1:11" ht="15.95" customHeight="1" x14ac:dyDescent="0.2">
      <c r="A263" s="139" t="s">
        <v>458</v>
      </c>
      <c r="B263" s="480" t="s">
        <v>459</v>
      </c>
      <c r="C263" s="476"/>
      <c r="D263" s="476"/>
      <c r="E263" s="155">
        <v>1236717.49</v>
      </c>
      <c r="F263" s="155">
        <v>0</v>
      </c>
      <c r="G263" s="22"/>
      <c r="H263" s="155">
        <v>0</v>
      </c>
      <c r="I263" s="22"/>
      <c r="J263" s="155">
        <v>1236717.49</v>
      </c>
      <c r="K263" s="22">
        <f t="shared" si="4"/>
        <v>0</v>
      </c>
    </row>
    <row r="264" spans="1:11" ht="15.95" customHeight="1" x14ac:dyDescent="0.2">
      <c r="A264" s="139">
        <v>2</v>
      </c>
      <c r="B264" s="480" t="s">
        <v>460</v>
      </c>
      <c r="C264" s="476"/>
      <c r="D264" s="476"/>
      <c r="E264" s="155">
        <v>-314364585.81999999</v>
      </c>
      <c r="F264" s="155">
        <v>178792915.91999999</v>
      </c>
      <c r="G264" s="22"/>
      <c r="H264" s="155">
        <v>175751712.97</v>
      </c>
      <c r="I264" s="22"/>
      <c r="J264" s="155">
        <v>-311323382.87</v>
      </c>
      <c r="K264" s="22">
        <f t="shared" si="4"/>
        <v>3041202.9499999881</v>
      </c>
    </row>
    <row r="265" spans="1:11" ht="15.95" customHeight="1" x14ac:dyDescent="0.2">
      <c r="A265" s="139">
        <v>21</v>
      </c>
      <c r="B265" s="480" t="s">
        <v>461</v>
      </c>
      <c r="C265" s="476"/>
      <c r="D265" s="476"/>
      <c r="E265" s="155">
        <v>-13458860.310000001</v>
      </c>
      <c r="F265" s="155">
        <v>53522852.82</v>
      </c>
      <c r="G265" s="22"/>
      <c r="H265" s="155">
        <v>56685616.549999997</v>
      </c>
      <c r="I265" s="22"/>
      <c r="J265" s="155">
        <v>-16621624.039999999</v>
      </c>
      <c r="K265" s="22">
        <f t="shared" si="4"/>
        <v>-3162763.7299999986</v>
      </c>
    </row>
    <row r="266" spans="1:11" ht="15.95" customHeight="1" x14ac:dyDescent="0.2">
      <c r="A266" s="141">
        <v>211</v>
      </c>
      <c r="B266" s="481" t="s">
        <v>462</v>
      </c>
      <c r="C266" s="482"/>
      <c r="D266" s="482"/>
      <c r="E266" s="156">
        <v>-783736.12</v>
      </c>
      <c r="F266" s="156">
        <v>20579088.52</v>
      </c>
      <c r="G266" s="25"/>
      <c r="H266" s="156">
        <v>20807882.809999999</v>
      </c>
      <c r="I266" s="25"/>
      <c r="J266" s="156">
        <v>-1012530.41</v>
      </c>
      <c r="K266" s="25">
        <f t="shared" si="4"/>
        <v>-228794.29000000004</v>
      </c>
    </row>
    <row r="267" spans="1:11" ht="15.95" customHeight="1" x14ac:dyDescent="0.2">
      <c r="A267" s="139">
        <v>21101</v>
      </c>
      <c r="B267" s="480" t="s">
        <v>462</v>
      </c>
      <c r="C267" s="476"/>
      <c r="D267" s="476"/>
      <c r="E267" s="155">
        <v>-783736.12</v>
      </c>
      <c r="F267" s="155">
        <v>20579088.52</v>
      </c>
      <c r="G267" s="22"/>
      <c r="H267" s="155">
        <v>20807882.809999999</v>
      </c>
      <c r="I267" s="22"/>
      <c r="J267" s="155">
        <v>-1012530.41</v>
      </c>
      <c r="K267" s="22">
        <f t="shared" si="4"/>
        <v>-228794.29000000004</v>
      </c>
    </row>
    <row r="268" spans="1:11" ht="15.95" customHeight="1" x14ac:dyDescent="0.2">
      <c r="A268" s="139">
        <v>2110101</v>
      </c>
      <c r="B268" s="480" t="s">
        <v>463</v>
      </c>
      <c r="C268" s="476"/>
      <c r="D268" s="476"/>
      <c r="E268" s="155">
        <v>-777801.58</v>
      </c>
      <c r="F268" s="155">
        <v>18033755.699999999</v>
      </c>
      <c r="G268" s="22"/>
      <c r="H268" s="155">
        <v>18100690.620000001</v>
      </c>
      <c r="I268" s="22"/>
      <c r="J268" s="155">
        <v>-844736.5</v>
      </c>
      <c r="K268" s="22">
        <f t="shared" si="4"/>
        <v>-66934.920000000042</v>
      </c>
    </row>
    <row r="269" spans="1:11" ht="15.95" customHeight="1" x14ac:dyDescent="0.2">
      <c r="A269" s="139" t="s">
        <v>464</v>
      </c>
      <c r="B269" s="480" t="s">
        <v>465</v>
      </c>
      <c r="C269" s="476"/>
      <c r="D269" s="476"/>
      <c r="E269" s="155">
        <v>-53791.14</v>
      </c>
      <c r="F269" s="155">
        <v>1118929.81</v>
      </c>
      <c r="G269" s="22"/>
      <c r="H269" s="155">
        <v>1214965.67</v>
      </c>
      <c r="I269" s="22"/>
      <c r="J269" s="155">
        <v>-149827</v>
      </c>
      <c r="K269" s="22">
        <f t="shared" si="4"/>
        <v>-96035.86</v>
      </c>
    </row>
    <row r="270" spans="1:11" ht="15.95" customHeight="1" x14ac:dyDescent="0.2">
      <c r="A270" s="139" t="s">
        <v>466</v>
      </c>
      <c r="B270" s="480" t="s">
        <v>1800</v>
      </c>
      <c r="C270" s="476"/>
      <c r="D270" s="476"/>
      <c r="E270" s="155">
        <v>0</v>
      </c>
      <c r="F270" s="155">
        <v>2812712.2</v>
      </c>
      <c r="G270" s="22"/>
      <c r="H270" s="155">
        <v>2813973.42</v>
      </c>
      <c r="I270" s="22"/>
      <c r="J270" s="155">
        <v>-1261.22</v>
      </c>
      <c r="K270" s="22">
        <f t="shared" si="4"/>
        <v>-1261.22</v>
      </c>
    </row>
    <row r="271" spans="1:11" ht="15.95" customHeight="1" x14ac:dyDescent="0.2">
      <c r="A271" s="139" t="s">
        <v>468</v>
      </c>
      <c r="B271" s="480" t="s">
        <v>469</v>
      </c>
      <c r="C271" s="476"/>
      <c r="D271" s="476"/>
      <c r="E271" s="155">
        <v>-1798.34</v>
      </c>
      <c r="F271" s="155">
        <v>52731.72</v>
      </c>
      <c r="G271" s="22"/>
      <c r="H271" s="155">
        <v>52371.91</v>
      </c>
      <c r="I271" s="22"/>
      <c r="J271" s="155">
        <v>-1438.53</v>
      </c>
      <c r="K271" s="22">
        <f t="shared" si="4"/>
        <v>359.80999999999995</v>
      </c>
    </row>
    <row r="272" spans="1:11" ht="27.95" customHeight="1" x14ac:dyDescent="0.2">
      <c r="A272" s="139" t="s">
        <v>470</v>
      </c>
      <c r="B272" s="480" t="s">
        <v>471</v>
      </c>
      <c r="C272" s="476"/>
      <c r="D272" s="476"/>
      <c r="E272" s="155">
        <v>-3761.1</v>
      </c>
      <c r="F272" s="155">
        <v>124830.14</v>
      </c>
      <c r="G272" s="22"/>
      <c r="H272" s="155">
        <v>121069.04</v>
      </c>
      <c r="I272" s="22"/>
      <c r="J272" s="155">
        <v>0</v>
      </c>
      <c r="K272" s="22">
        <f t="shared" si="4"/>
        <v>3761.1</v>
      </c>
    </row>
    <row r="273" spans="1:11" ht="15.95" customHeight="1" x14ac:dyDescent="0.2">
      <c r="A273" s="139" t="s">
        <v>472</v>
      </c>
      <c r="B273" s="480" t="s">
        <v>473</v>
      </c>
      <c r="C273" s="476"/>
      <c r="D273" s="476"/>
      <c r="E273" s="155">
        <v>0</v>
      </c>
      <c r="F273" s="155">
        <v>29723.33</v>
      </c>
      <c r="G273" s="22"/>
      <c r="H273" s="155">
        <v>29723.33</v>
      </c>
      <c r="I273" s="22"/>
      <c r="J273" s="155">
        <v>0</v>
      </c>
      <c r="K273" s="22">
        <f t="shared" si="4"/>
        <v>0</v>
      </c>
    </row>
    <row r="274" spans="1:11" ht="15.95" customHeight="1" x14ac:dyDescent="0.2">
      <c r="A274" s="139" t="s">
        <v>474</v>
      </c>
      <c r="B274" s="480" t="s">
        <v>475</v>
      </c>
      <c r="C274" s="476"/>
      <c r="D274" s="476"/>
      <c r="E274" s="155">
        <v>0</v>
      </c>
      <c r="F274" s="155">
        <v>17130.099999999999</v>
      </c>
      <c r="G274" s="22"/>
      <c r="H274" s="155">
        <v>17130.099999999999</v>
      </c>
      <c r="I274" s="22"/>
      <c r="J274" s="155">
        <v>0</v>
      </c>
      <c r="K274" s="22">
        <f t="shared" si="4"/>
        <v>0</v>
      </c>
    </row>
    <row r="275" spans="1:11" ht="15.95" customHeight="1" x14ac:dyDescent="0.2">
      <c r="A275" s="139" t="s">
        <v>476</v>
      </c>
      <c r="B275" s="480" t="s">
        <v>477</v>
      </c>
      <c r="C275" s="476"/>
      <c r="D275" s="476"/>
      <c r="E275" s="155">
        <v>-1589.28</v>
      </c>
      <c r="F275" s="155">
        <v>14849.84</v>
      </c>
      <c r="G275" s="22"/>
      <c r="H275" s="155">
        <v>14850</v>
      </c>
      <c r="I275" s="22"/>
      <c r="J275" s="155">
        <v>-1589.44</v>
      </c>
      <c r="K275" s="22">
        <f t="shared" si="4"/>
        <v>-0.16000000000008185</v>
      </c>
    </row>
    <row r="276" spans="1:11" ht="15.95" customHeight="1" x14ac:dyDescent="0.2">
      <c r="A276" s="139" t="s">
        <v>1801</v>
      </c>
      <c r="B276" s="480" t="s">
        <v>1802</v>
      </c>
      <c r="C276" s="476"/>
      <c r="D276" s="476"/>
      <c r="E276" s="155">
        <v>0</v>
      </c>
      <c r="F276" s="155">
        <v>884.3</v>
      </c>
      <c r="G276" s="22"/>
      <c r="H276" s="155">
        <v>884.3</v>
      </c>
      <c r="I276" s="22"/>
      <c r="J276" s="155">
        <v>0</v>
      </c>
      <c r="K276" s="22">
        <f t="shared" si="4"/>
        <v>0</v>
      </c>
    </row>
    <row r="277" spans="1:11" ht="15.95" customHeight="1" x14ac:dyDescent="0.2">
      <c r="A277" s="139" t="s">
        <v>478</v>
      </c>
      <c r="B277" s="480" t="s">
        <v>479</v>
      </c>
      <c r="C277" s="476"/>
      <c r="D277" s="476"/>
      <c r="E277" s="155">
        <v>0</v>
      </c>
      <c r="F277" s="155">
        <v>12451.9</v>
      </c>
      <c r="G277" s="22"/>
      <c r="H277" s="155">
        <v>12451.9</v>
      </c>
      <c r="I277" s="22"/>
      <c r="J277" s="155">
        <v>0</v>
      </c>
      <c r="K277" s="22">
        <f t="shared" si="4"/>
        <v>0</v>
      </c>
    </row>
    <row r="278" spans="1:11" ht="15.95" customHeight="1" x14ac:dyDescent="0.2">
      <c r="A278" s="139" t="s">
        <v>480</v>
      </c>
      <c r="B278" s="480" t="s">
        <v>481</v>
      </c>
      <c r="C278" s="476"/>
      <c r="D278" s="476"/>
      <c r="E278" s="155">
        <v>0</v>
      </c>
      <c r="F278" s="155">
        <v>9308.68</v>
      </c>
      <c r="G278" s="22"/>
      <c r="H278" s="155">
        <v>10350</v>
      </c>
      <c r="I278" s="22"/>
      <c r="J278" s="155">
        <v>-1041.32</v>
      </c>
      <c r="K278" s="22">
        <f t="shared" si="4"/>
        <v>-1041.32</v>
      </c>
    </row>
    <row r="279" spans="1:11" ht="15.95" customHeight="1" x14ac:dyDescent="0.2">
      <c r="A279" s="139" t="s">
        <v>482</v>
      </c>
      <c r="B279" s="480" t="s">
        <v>483</v>
      </c>
      <c r="C279" s="476"/>
      <c r="D279" s="476"/>
      <c r="E279" s="155">
        <v>0</v>
      </c>
      <c r="F279" s="155">
        <v>101502.98</v>
      </c>
      <c r="G279" s="22"/>
      <c r="H279" s="155">
        <v>101502.98</v>
      </c>
      <c r="I279" s="22"/>
      <c r="J279" s="155">
        <v>0</v>
      </c>
      <c r="K279" s="22">
        <f t="shared" si="4"/>
        <v>0</v>
      </c>
    </row>
    <row r="280" spans="1:11" ht="15.95" customHeight="1" x14ac:dyDescent="0.2">
      <c r="A280" s="139" t="s">
        <v>484</v>
      </c>
      <c r="B280" s="480" t="s">
        <v>485</v>
      </c>
      <c r="C280" s="476"/>
      <c r="D280" s="476"/>
      <c r="E280" s="155">
        <v>0</v>
      </c>
      <c r="F280" s="155">
        <v>1974.55</v>
      </c>
      <c r="G280" s="22"/>
      <c r="H280" s="155">
        <v>1974.55</v>
      </c>
      <c r="I280" s="22"/>
      <c r="J280" s="155">
        <v>0</v>
      </c>
      <c r="K280" s="22">
        <f t="shared" si="4"/>
        <v>0</v>
      </c>
    </row>
    <row r="281" spans="1:11" ht="15.95" customHeight="1" x14ac:dyDescent="0.2">
      <c r="A281" s="139" t="s">
        <v>486</v>
      </c>
      <c r="B281" s="480" t="s">
        <v>487</v>
      </c>
      <c r="C281" s="476"/>
      <c r="D281" s="476"/>
      <c r="E281" s="155">
        <v>-4</v>
      </c>
      <c r="F281" s="155">
        <v>6194.1</v>
      </c>
      <c r="G281" s="22"/>
      <c r="H281" s="155">
        <v>6190.1</v>
      </c>
      <c r="I281" s="22"/>
      <c r="J281" s="155">
        <v>0</v>
      </c>
      <c r="K281" s="22">
        <f t="shared" si="4"/>
        <v>4</v>
      </c>
    </row>
    <row r="282" spans="1:11" ht="15.95" customHeight="1" x14ac:dyDescent="0.2">
      <c r="A282" s="139" t="s">
        <v>488</v>
      </c>
      <c r="B282" s="480" t="s">
        <v>489</v>
      </c>
      <c r="C282" s="476"/>
      <c r="D282" s="476"/>
      <c r="E282" s="155">
        <v>0</v>
      </c>
      <c r="F282" s="155">
        <v>997903.53</v>
      </c>
      <c r="G282" s="22"/>
      <c r="H282" s="155">
        <v>997903.53</v>
      </c>
      <c r="I282" s="22"/>
      <c r="J282" s="155">
        <v>0</v>
      </c>
      <c r="K282" s="22">
        <f t="shared" si="4"/>
        <v>0</v>
      </c>
    </row>
    <row r="283" spans="1:11" ht="15.95" customHeight="1" x14ac:dyDescent="0.2">
      <c r="A283" s="139" t="s">
        <v>490</v>
      </c>
      <c r="B283" s="480" t="s">
        <v>491</v>
      </c>
      <c r="C283" s="476"/>
      <c r="D283" s="476"/>
      <c r="E283" s="155">
        <v>0</v>
      </c>
      <c r="F283" s="155">
        <v>25092.18</v>
      </c>
      <c r="G283" s="22"/>
      <c r="H283" s="155">
        <v>28185.03</v>
      </c>
      <c r="I283" s="22"/>
      <c r="J283" s="155">
        <v>-3092.85</v>
      </c>
      <c r="K283" s="22">
        <f t="shared" si="4"/>
        <v>-3092.85</v>
      </c>
    </row>
    <row r="284" spans="1:11" ht="15.95" customHeight="1" x14ac:dyDescent="0.2">
      <c r="A284" s="139" t="s">
        <v>492</v>
      </c>
      <c r="B284" s="480" t="s">
        <v>493</v>
      </c>
      <c r="C284" s="476"/>
      <c r="D284" s="476"/>
      <c r="E284" s="155">
        <v>0</v>
      </c>
      <c r="F284" s="155">
        <v>784.74</v>
      </c>
      <c r="G284" s="22"/>
      <c r="H284" s="155">
        <v>784.74</v>
      </c>
      <c r="I284" s="22"/>
      <c r="J284" s="155">
        <v>0</v>
      </c>
      <c r="K284" s="22">
        <f t="shared" si="4"/>
        <v>0</v>
      </c>
    </row>
    <row r="285" spans="1:11" ht="15.95" customHeight="1" x14ac:dyDescent="0.2">
      <c r="A285" s="139" t="s">
        <v>494</v>
      </c>
      <c r="B285" s="480" t="s">
        <v>495</v>
      </c>
      <c r="C285" s="476"/>
      <c r="D285" s="476"/>
      <c r="E285" s="155">
        <v>0</v>
      </c>
      <c r="F285" s="155">
        <v>152.65</v>
      </c>
      <c r="G285" s="22"/>
      <c r="H285" s="155">
        <v>152.65</v>
      </c>
      <c r="I285" s="22"/>
      <c r="J285" s="155">
        <v>0</v>
      </c>
      <c r="K285" s="22">
        <f t="shared" si="4"/>
        <v>0</v>
      </c>
    </row>
    <row r="286" spans="1:11" ht="15.95" customHeight="1" x14ac:dyDescent="0.2">
      <c r="A286" s="139" t="s">
        <v>496</v>
      </c>
      <c r="B286" s="480" t="s">
        <v>497</v>
      </c>
      <c r="C286" s="476"/>
      <c r="D286" s="476"/>
      <c r="E286" s="155">
        <v>-119502.26</v>
      </c>
      <c r="F286" s="155">
        <v>0</v>
      </c>
      <c r="G286" s="22"/>
      <c r="H286" s="155">
        <v>0</v>
      </c>
      <c r="I286" s="22"/>
      <c r="J286" s="155">
        <v>-119502.26</v>
      </c>
      <c r="K286" s="22">
        <f t="shared" si="4"/>
        <v>0</v>
      </c>
    </row>
    <row r="287" spans="1:11" ht="15.95" customHeight="1" x14ac:dyDescent="0.2">
      <c r="A287" s="139" t="s">
        <v>498</v>
      </c>
      <c r="B287" s="480" t="s">
        <v>499</v>
      </c>
      <c r="C287" s="476"/>
      <c r="D287" s="476"/>
      <c r="E287" s="155">
        <v>-1178.8900000000001</v>
      </c>
      <c r="F287" s="155">
        <v>2037.13</v>
      </c>
      <c r="G287" s="22"/>
      <c r="H287" s="155">
        <v>858.24</v>
      </c>
      <c r="I287" s="22"/>
      <c r="J287" s="155">
        <v>0</v>
      </c>
      <c r="K287" s="22">
        <f t="shared" si="4"/>
        <v>1178.8900000000001</v>
      </c>
    </row>
    <row r="288" spans="1:11" ht="15.95" customHeight="1" x14ac:dyDescent="0.2">
      <c r="A288" s="139" t="s">
        <v>500</v>
      </c>
      <c r="B288" s="480" t="s">
        <v>501</v>
      </c>
      <c r="C288" s="476"/>
      <c r="D288" s="476"/>
      <c r="E288" s="155">
        <v>0</v>
      </c>
      <c r="F288" s="155">
        <v>11169.25</v>
      </c>
      <c r="G288" s="22"/>
      <c r="H288" s="155">
        <v>11169.25</v>
      </c>
      <c r="I288" s="22"/>
      <c r="J288" s="155">
        <v>0</v>
      </c>
      <c r="K288" s="22">
        <f t="shared" si="4"/>
        <v>0</v>
      </c>
    </row>
    <row r="289" spans="1:11" ht="15.95" customHeight="1" x14ac:dyDescent="0.2">
      <c r="A289" s="139" t="s">
        <v>502</v>
      </c>
      <c r="B289" s="480" t="s">
        <v>503</v>
      </c>
      <c r="C289" s="476"/>
      <c r="D289" s="476"/>
      <c r="E289" s="155">
        <v>-23584.44</v>
      </c>
      <c r="F289" s="155">
        <v>2275058.83</v>
      </c>
      <c r="G289" s="22"/>
      <c r="H289" s="155">
        <v>2307786.21</v>
      </c>
      <c r="I289" s="22"/>
      <c r="J289" s="155">
        <v>-56311.82</v>
      </c>
      <c r="K289" s="22">
        <f t="shared" si="4"/>
        <v>-32727.38</v>
      </c>
    </row>
    <row r="290" spans="1:11" ht="15.95" customHeight="1" x14ac:dyDescent="0.2">
      <c r="A290" s="139" t="s">
        <v>504</v>
      </c>
      <c r="B290" s="480" t="s">
        <v>505</v>
      </c>
      <c r="C290" s="476"/>
      <c r="D290" s="476"/>
      <c r="E290" s="155">
        <v>0</v>
      </c>
      <c r="F290" s="155">
        <v>29542.09</v>
      </c>
      <c r="G290" s="22"/>
      <c r="H290" s="155">
        <v>32305.56</v>
      </c>
      <c r="I290" s="22"/>
      <c r="J290" s="155">
        <v>-2763.47</v>
      </c>
      <c r="K290" s="22">
        <f t="shared" si="4"/>
        <v>-2763.47</v>
      </c>
    </row>
    <row r="291" spans="1:11" ht="15.95" customHeight="1" x14ac:dyDescent="0.2">
      <c r="A291" s="139" t="s">
        <v>506</v>
      </c>
      <c r="B291" s="480" t="s">
        <v>507</v>
      </c>
      <c r="C291" s="476"/>
      <c r="D291" s="476"/>
      <c r="E291" s="155">
        <v>0</v>
      </c>
      <c r="F291" s="155">
        <v>1122423.56</v>
      </c>
      <c r="G291" s="22"/>
      <c r="H291" s="155">
        <v>1229957.48</v>
      </c>
      <c r="I291" s="22"/>
      <c r="J291" s="155">
        <v>-107533.92</v>
      </c>
      <c r="K291" s="22">
        <f t="shared" si="4"/>
        <v>-107533.92</v>
      </c>
    </row>
    <row r="292" spans="1:11" ht="15.95" customHeight="1" x14ac:dyDescent="0.2">
      <c r="A292" s="139" t="s">
        <v>508</v>
      </c>
      <c r="B292" s="480" t="s">
        <v>509</v>
      </c>
      <c r="C292" s="476"/>
      <c r="D292" s="476"/>
      <c r="E292" s="155">
        <v>0</v>
      </c>
      <c r="F292" s="155">
        <v>1218886.8799999999</v>
      </c>
      <c r="G292" s="22"/>
      <c r="H292" s="155">
        <v>1218886.8799999999</v>
      </c>
      <c r="I292" s="22"/>
      <c r="J292" s="155">
        <v>0</v>
      </c>
      <c r="K292" s="22">
        <f t="shared" si="4"/>
        <v>0</v>
      </c>
    </row>
    <row r="293" spans="1:11" ht="15.95" customHeight="1" x14ac:dyDescent="0.2">
      <c r="A293" s="139" t="s">
        <v>510</v>
      </c>
      <c r="B293" s="480" t="s">
        <v>511</v>
      </c>
      <c r="C293" s="476"/>
      <c r="D293" s="476"/>
      <c r="E293" s="155">
        <v>0</v>
      </c>
      <c r="F293" s="155">
        <v>2150500</v>
      </c>
      <c r="G293" s="22"/>
      <c r="H293" s="155">
        <v>2150500</v>
      </c>
      <c r="I293" s="22"/>
      <c r="J293" s="155">
        <v>0</v>
      </c>
      <c r="K293" s="22">
        <f t="shared" si="4"/>
        <v>0</v>
      </c>
    </row>
    <row r="294" spans="1:11" ht="15.95" customHeight="1" x14ac:dyDescent="0.2">
      <c r="A294" s="139" t="s">
        <v>512</v>
      </c>
      <c r="B294" s="480" t="s">
        <v>513</v>
      </c>
      <c r="C294" s="476"/>
      <c r="D294" s="476"/>
      <c r="E294" s="155">
        <v>-1606.1</v>
      </c>
      <c r="F294" s="155">
        <v>0</v>
      </c>
      <c r="G294" s="22"/>
      <c r="H294" s="155">
        <v>0</v>
      </c>
      <c r="I294" s="22"/>
      <c r="J294" s="155">
        <v>-1606.1</v>
      </c>
      <c r="K294" s="22">
        <f t="shared" si="4"/>
        <v>0</v>
      </c>
    </row>
    <row r="295" spans="1:11" ht="15.95" customHeight="1" x14ac:dyDescent="0.2">
      <c r="A295" s="139" t="s">
        <v>514</v>
      </c>
      <c r="B295" s="480" t="s">
        <v>515</v>
      </c>
      <c r="C295" s="476"/>
      <c r="D295" s="476"/>
      <c r="E295" s="155">
        <v>-22299.84</v>
      </c>
      <c r="F295" s="155">
        <v>72666.5</v>
      </c>
      <c r="G295" s="22"/>
      <c r="H295" s="155">
        <v>50366.66</v>
      </c>
      <c r="I295" s="22"/>
      <c r="J295" s="155">
        <v>0</v>
      </c>
      <c r="K295" s="22">
        <f t="shared" si="4"/>
        <v>22299.84</v>
      </c>
    </row>
    <row r="296" spans="1:11" ht="15.95" customHeight="1" x14ac:dyDescent="0.2">
      <c r="A296" s="139" t="s">
        <v>516</v>
      </c>
      <c r="B296" s="480" t="s">
        <v>517</v>
      </c>
      <c r="C296" s="476"/>
      <c r="D296" s="476"/>
      <c r="E296" s="155">
        <v>-6121.35</v>
      </c>
      <c r="F296" s="155">
        <v>0</v>
      </c>
      <c r="G296" s="22"/>
      <c r="H296" s="155">
        <v>0</v>
      </c>
      <c r="I296" s="22"/>
      <c r="J296" s="155">
        <v>-6121.35</v>
      </c>
      <c r="K296" s="22">
        <f t="shared" si="4"/>
        <v>0</v>
      </c>
    </row>
    <row r="297" spans="1:11" ht="15.95" customHeight="1" x14ac:dyDescent="0.2">
      <c r="A297" s="139" t="s">
        <v>518</v>
      </c>
      <c r="B297" s="480" t="s">
        <v>519</v>
      </c>
      <c r="C297" s="476"/>
      <c r="D297" s="476"/>
      <c r="E297" s="155">
        <v>-172922.96</v>
      </c>
      <c r="F297" s="155">
        <v>0</v>
      </c>
      <c r="G297" s="22"/>
      <c r="H297" s="155">
        <v>0</v>
      </c>
      <c r="I297" s="22"/>
      <c r="J297" s="155">
        <v>-172922.96</v>
      </c>
      <c r="K297" s="22">
        <f t="shared" si="4"/>
        <v>0</v>
      </c>
    </row>
    <row r="298" spans="1:11" ht="15.95" customHeight="1" x14ac:dyDescent="0.2">
      <c r="A298" s="139" t="s">
        <v>1510</v>
      </c>
      <c r="B298" s="480" t="s">
        <v>1511</v>
      </c>
      <c r="C298" s="476"/>
      <c r="D298" s="476"/>
      <c r="E298" s="155">
        <v>0</v>
      </c>
      <c r="F298" s="155">
        <v>39943.56</v>
      </c>
      <c r="G298" s="22"/>
      <c r="H298" s="155">
        <v>39943.56</v>
      </c>
      <c r="I298" s="22"/>
      <c r="J298" s="155">
        <v>0</v>
      </c>
      <c r="K298" s="22">
        <f t="shared" si="4"/>
        <v>0</v>
      </c>
    </row>
    <row r="299" spans="1:11" ht="15.95" customHeight="1" x14ac:dyDescent="0.2">
      <c r="A299" s="139" t="s">
        <v>520</v>
      </c>
      <c r="B299" s="480" t="s">
        <v>521</v>
      </c>
      <c r="C299" s="476"/>
      <c r="D299" s="476"/>
      <c r="E299" s="155">
        <v>-175665.09</v>
      </c>
      <c r="F299" s="155">
        <v>175665.09</v>
      </c>
      <c r="G299" s="22"/>
      <c r="H299" s="155">
        <v>0</v>
      </c>
      <c r="I299" s="22"/>
      <c r="J299" s="155">
        <v>0</v>
      </c>
      <c r="K299" s="22">
        <f t="shared" si="4"/>
        <v>175665.09</v>
      </c>
    </row>
    <row r="300" spans="1:11" ht="15.95" customHeight="1" x14ac:dyDescent="0.2">
      <c r="A300" s="139" t="s">
        <v>522</v>
      </c>
      <c r="B300" s="480" t="s">
        <v>523</v>
      </c>
      <c r="C300" s="476"/>
      <c r="D300" s="476"/>
      <c r="E300" s="155">
        <v>0</v>
      </c>
      <c r="F300" s="155">
        <v>50229.83</v>
      </c>
      <c r="G300" s="22"/>
      <c r="H300" s="155">
        <v>50229.83</v>
      </c>
      <c r="I300" s="22"/>
      <c r="J300" s="155">
        <v>0</v>
      </c>
      <c r="K300" s="22">
        <f t="shared" si="4"/>
        <v>0</v>
      </c>
    </row>
    <row r="301" spans="1:11" ht="15.95" customHeight="1" x14ac:dyDescent="0.2">
      <c r="A301" s="139" t="s">
        <v>524</v>
      </c>
      <c r="B301" s="480" t="s">
        <v>525</v>
      </c>
      <c r="C301" s="476"/>
      <c r="D301" s="476"/>
      <c r="E301" s="155">
        <v>0</v>
      </c>
      <c r="F301" s="155">
        <v>998052.43</v>
      </c>
      <c r="G301" s="22"/>
      <c r="H301" s="155">
        <v>998052.43</v>
      </c>
      <c r="I301" s="22"/>
      <c r="J301" s="155">
        <v>0</v>
      </c>
      <c r="K301" s="22">
        <f t="shared" si="4"/>
        <v>0</v>
      </c>
    </row>
    <row r="302" spans="1:11" ht="15.95" customHeight="1" x14ac:dyDescent="0.2">
      <c r="A302" s="139" t="s">
        <v>526</v>
      </c>
      <c r="B302" s="480" t="s">
        <v>527</v>
      </c>
      <c r="C302" s="476"/>
      <c r="D302" s="476"/>
      <c r="E302" s="155">
        <v>-265.2</v>
      </c>
      <c r="F302" s="155">
        <v>19566.52</v>
      </c>
      <c r="G302" s="22"/>
      <c r="H302" s="155">
        <v>21464.02</v>
      </c>
      <c r="I302" s="22"/>
      <c r="J302" s="155">
        <v>-2162.6999999999998</v>
      </c>
      <c r="K302" s="22">
        <f t="shared" si="4"/>
        <v>-1897.4999999999998</v>
      </c>
    </row>
    <row r="303" spans="1:11" ht="15.95" customHeight="1" x14ac:dyDescent="0.2">
      <c r="A303" s="139" t="s">
        <v>528</v>
      </c>
      <c r="B303" s="480" t="s">
        <v>529</v>
      </c>
      <c r="C303" s="476"/>
      <c r="D303" s="476"/>
      <c r="E303" s="155">
        <v>0</v>
      </c>
      <c r="F303" s="155">
        <v>2628</v>
      </c>
      <c r="G303" s="22"/>
      <c r="H303" s="155">
        <v>2628</v>
      </c>
      <c r="I303" s="22"/>
      <c r="J303" s="155">
        <v>0</v>
      </c>
      <c r="K303" s="22">
        <f t="shared" si="4"/>
        <v>0</v>
      </c>
    </row>
    <row r="304" spans="1:11" ht="15.95" customHeight="1" x14ac:dyDescent="0.2">
      <c r="A304" s="139" t="s">
        <v>530</v>
      </c>
      <c r="B304" s="480" t="s">
        <v>531</v>
      </c>
      <c r="C304" s="476"/>
      <c r="D304" s="476"/>
      <c r="E304" s="155">
        <v>-1.98</v>
      </c>
      <c r="F304" s="155">
        <v>91596.64</v>
      </c>
      <c r="G304" s="22"/>
      <c r="H304" s="155">
        <v>91594.66</v>
      </c>
      <c r="I304" s="22"/>
      <c r="J304" s="155">
        <v>0</v>
      </c>
      <c r="K304" s="22">
        <f t="shared" si="4"/>
        <v>1.98</v>
      </c>
    </row>
    <row r="305" spans="1:11" ht="15.95" customHeight="1" x14ac:dyDescent="0.2">
      <c r="A305" s="139" t="s">
        <v>532</v>
      </c>
      <c r="B305" s="480" t="s">
        <v>533</v>
      </c>
      <c r="C305" s="476"/>
      <c r="D305" s="476"/>
      <c r="E305" s="155">
        <v>-1416.52</v>
      </c>
      <c r="F305" s="155">
        <v>13201.36</v>
      </c>
      <c r="G305" s="22"/>
      <c r="H305" s="155">
        <v>11784.84</v>
      </c>
      <c r="I305" s="22"/>
      <c r="J305" s="155">
        <v>0</v>
      </c>
      <c r="K305" s="22">
        <f t="shared" si="4"/>
        <v>1416.52</v>
      </c>
    </row>
    <row r="306" spans="1:11" ht="15.95" customHeight="1" x14ac:dyDescent="0.2">
      <c r="A306" s="139" t="s">
        <v>534</v>
      </c>
      <c r="B306" s="480" t="s">
        <v>535</v>
      </c>
      <c r="C306" s="476"/>
      <c r="D306" s="476"/>
      <c r="E306" s="155">
        <v>-25798.82</v>
      </c>
      <c r="F306" s="155">
        <v>0</v>
      </c>
      <c r="G306" s="22"/>
      <c r="H306" s="155">
        <v>0</v>
      </c>
      <c r="I306" s="22"/>
      <c r="J306" s="155">
        <v>-25798.82</v>
      </c>
      <c r="K306" s="22">
        <f t="shared" si="4"/>
        <v>0</v>
      </c>
    </row>
    <row r="307" spans="1:11" ht="15.95" customHeight="1" x14ac:dyDescent="0.2">
      <c r="A307" s="139" t="s">
        <v>536</v>
      </c>
      <c r="B307" s="480" t="s">
        <v>537</v>
      </c>
      <c r="C307" s="476"/>
      <c r="D307" s="476"/>
      <c r="E307" s="155">
        <v>0</v>
      </c>
      <c r="F307" s="155">
        <v>99674.02</v>
      </c>
      <c r="G307" s="22"/>
      <c r="H307" s="155">
        <v>99674.02</v>
      </c>
      <c r="I307" s="22"/>
      <c r="J307" s="155">
        <v>0</v>
      </c>
      <c r="K307" s="22">
        <f t="shared" si="4"/>
        <v>0</v>
      </c>
    </row>
    <row r="308" spans="1:11" ht="15.95" customHeight="1" x14ac:dyDescent="0.2">
      <c r="A308" s="139" t="s">
        <v>538</v>
      </c>
      <c r="B308" s="480" t="s">
        <v>539</v>
      </c>
      <c r="C308" s="476"/>
      <c r="D308" s="476"/>
      <c r="E308" s="155">
        <v>0</v>
      </c>
      <c r="F308" s="155">
        <v>5200</v>
      </c>
      <c r="G308" s="22"/>
      <c r="H308" s="155">
        <v>5200</v>
      </c>
      <c r="I308" s="22"/>
      <c r="J308" s="155">
        <v>0</v>
      </c>
      <c r="K308" s="22">
        <f t="shared" si="4"/>
        <v>0</v>
      </c>
    </row>
    <row r="309" spans="1:11" ht="15.95" customHeight="1" x14ac:dyDescent="0.2">
      <c r="A309" s="139" t="s">
        <v>540</v>
      </c>
      <c r="B309" s="480" t="s">
        <v>541</v>
      </c>
      <c r="C309" s="476"/>
      <c r="D309" s="476"/>
      <c r="E309" s="155">
        <v>-99496.55</v>
      </c>
      <c r="F309" s="155">
        <v>2103.15</v>
      </c>
      <c r="G309" s="22"/>
      <c r="H309" s="155">
        <v>14758.93</v>
      </c>
      <c r="I309" s="22"/>
      <c r="J309" s="155">
        <v>-112152.33</v>
      </c>
      <c r="K309" s="22">
        <f t="shared" si="4"/>
        <v>-12655.779999999999</v>
      </c>
    </row>
    <row r="310" spans="1:11" ht="15.95" customHeight="1" x14ac:dyDescent="0.2">
      <c r="A310" s="139" t="s">
        <v>542</v>
      </c>
      <c r="B310" s="480" t="s">
        <v>543</v>
      </c>
      <c r="C310" s="476"/>
      <c r="D310" s="476"/>
      <c r="E310" s="155">
        <v>-62508</v>
      </c>
      <c r="F310" s="155">
        <v>562572</v>
      </c>
      <c r="G310" s="22"/>
      <c r="H310" s="155">
        <v>500064</v>
      </c>
      <c r="I310" s="22"/>
      <c r="J310" s="155">
        <v>0</v>
      </c>
      <c r="K310" s="22">
        <f t="shared" si="4"/>
        <v>62508</v>
      </c>
    </row>
    <row r="311" spans="1:11" ht="15.95" customHeight="1" x14ac:dyDescent="0.2">
      <c r="A311" s="139" t="s">
        <v>544</v>
      </c>
      <c r="B311" s="480" t="s">
        <v>545</v>
      </c>
      <c r="C311" s="476"/>
      <c r="D311" s="476"/>
      <c r="E311" s="155">
        <v>0</v>
      </c>
      <c r="F311" s="155">
        <v>114629.86</v>
      </c>
      <c r="G311" s="22"/>
      <c r="H311" s="155">
        <v>123565.69</v>
      </c>
      <c r="I311" s="22"/>
      <c r="J311" s="155">
        <v>-8935.83</v>
      </c>
      <c r="K311" s="22">
        <f t="shared" si="4"/>
        <v>-8935.83</v>
      </c>
    </row>
    <row r="312" spans="1:11" ht="15.95" customHeight="1" x14ac:dyDescent="0.2">
      <c r="A312" s="139" t="s">
        <v>546</v>
      </c>
      <c r="B312" s="480" t="s">
        <v>547</v>
      </c>
      <c r="C312" s="476"/>
      <c r="D312" s="476"/>
      <c r="E312" s="155">
        <v>0</v>
      </c>
      <c r="F312" s="155">
        <v>585410.93999999994</v>
      </c>
      <c r="G312" s="22"/>
      <c r="H312" s="155">
        <v>585410.93999999994</v>
      </c>
      <c r="I312" s="22"/>
      <c r="J312" s="155">
        <v>0</v>
      </c>
      <c r="K312" s="22">
        <f t="shared" si="4"/>
        <v>0</v>
      </c>
    </row>
    <row r="313" spans="1:11" ht="15.95" customHeight="1" x14ac:dyDescent="0.2">
      <c r="A313" s="139" t="s">
        <v>548</v>
      </c>
      <c r="B313" s="480" t="s">
        <v>549</v>
      </c>
      <c r="C313" s="476"/>
      <c r="D313" s="476"/>
      <c r="E313" s="155">
        <v>0</v>
      </c>
      <c r="F313" s="155">
        <v>1596.46</v>
      </c>
      <c r="G313" s="22"/>
      <c r="H313" s="155">
        <v>1596.46</v>
      </c>
      <c r="I313" s="22"/>
      <c r="J313" s="155">
        <v>0</v>
      </c>
      <c r="K313" s="22">
        <f t="shared" si="4"/>
        <v>0</v>
      </c>
    </row>
    <row r="314" spans="1:11" ht="15.95" customHeight="1" x14ac:dyDescent="0.2">
      <c r="A314" s="139" t="s">
        <v>550</v>
      </c>
      <c r="B314" s="480" t="s">
        <v>551</v>
      </c>
      <c r="C314" s="476"/>
      <c r="D314" s="476"/>
      <c r="E314" s="155">
        <v>0</v>
      </c>
      <c r="F314" s="155">
        <v>229335</v>
      </c>
      <c r="G314" s="22"/>
      <c r="H314" s="155">
        <v>229335</v>
      </c>
      <c r="I314" s="22"/>
      <c r="J314" s="155">
        <v>0</v>
      </c>
      <c r="K314" s="22">
        <f t="shared" si="4"/>
        <v>0</v>
      </c>
    </row>
    <row r="315" spans="1:11" ht="15.95" customHeight="1" x14ac:dyDescent="0.2">
      <c r="A315" s="139" t="s">
        <v>552</v>
      </c>
      <c r="B315" s="480" t="s">
        <v>553</v>
      </c>
      <c r="C315" s="476"/>
      <c r="D315" s="476"/>
      <c r="E315" s="155">
        <v>-2912.29</v>
      </c>
      <c r="F315" s="155">
        <v>17540.599999999999</v>
      </c>
      <c r="G315" s="22"/>
      <c r="H315" s="155">
        <v>15333.15</v>
      </c>
      <c r="I315" s="22"/>
      <c r="J315" s="155">
        <v>-704.84</v>
      </c>
      <c r="K315" s="22">
        <f t="shared" si="4"/>
        <v>2207.4499999999998</v>
      </c>
    </row>
    <row r="316" spans="1:11" ht="15.95" customHeight="1" x14ac:dyDescent="0.2">
      <c r="A316" s="139" t="s">
        <v>1803</v>
      </c>
      <c r="B316" s="480" t="s">
        <v>1804</v>
      </c>
      <c r="C316" s="476"/>
      <c r="D316" s="476"/>
      <c r="E316" s="155">
        <v>0</v>
      </c>
      <c r="F316" s="155">
        <v>599.4</v>
      </c>
      <c r="G316" s="22"/>
      <c r="H316" s="155">
        <v>599.4</v>
      </c>
      <c r="I316" s="22"/>
      <c r="J316" s="155">
        <v>0</v>
      </c>
      <c r="K316" s="22">
        <f t="shared" si="4"/>
        <v>0</v>
      </c>
    </row>
    <row r="317" spans="1:11" ht="15.95" customHeight="1" x14ac:dyDescent="0.2">
      <c r="A317" s="139" t="s">
        <v>554</v>
      </c>
      <c r="B317" s="480" t="s">
        <v>555</v>
      </c>
      <c r="C317" s="476"/>
      <c r="D317" s="476"/>
      <c r="E317" s="155">
        <v>0</v>
      </c>
      <c r="F317" s="155">
        <v>4856.3</v>
      </c>
      <c r="G317" s="22"/>
      <c r="H317" s="155">
        <v>4856.3</v>
      </c>
      <c r="I317" s="22"/>
      <c r="J317" s="155">
        <v>0</v>
      </c>
      <c r="K317" s="22">
        <f t="shared" si="4"/>
        <v>0</v>
      </c>
    </row>
    <row r="318" spans="1:11" ht="15.95" customHeight="1" x14ac:dyDescent="0.2">
      <c r="A318" s="139" t="s">
        <v>1805</v>
      </c>
      <c r="B318" s="480" t="s">
        <v>1806</v>
      </c>
      <c r="C318" s="476"/>
      <c r="D318" s="476"/>
      <c r="E318" s="155">
        <v>0</v>
      </c>
      <c r="F318" s="155">
        <v>10800</v>
      </c>
      <c r="G318" s="22"/>
      <c r="H318" s="155">
        <v>10800</v>
      </c>
      <c r="I318" s="22"/>
      <c r="J318" s="155">
        <v>0</v>
      </c>
      <c r="K318" s="22">
        <f t="shared" si="4"/>
        <v>0</v>
      </c>
    </row>
    <row r="319" spans="1:11" ht="15.95" customHeight="1" x14ac:dyDescent="0.2">
      <c r="A319" s="139" t="s">
        <v>1807</v>
      </c>
      <c r="B319" s="480" t="s">
        <v>1808</v>
      </c>
      <c r="C319" s="476"/>
      <c r="D319" s="476"/>
      <c r="E319" s="155">
        <v>0</v>
      </c>
      <c r="F319" s="155">
        <v>6550</v>
      </c>
      <c r="G319" s="22"/>
      <c r="H319" s="155">
        <v>6550</v>
      </c>
      <c r="I319" s="22"/>
      <c r="J319" s="155">
        <v>0</v>
      </c>
      <c r="K319" s="22">
        <f t="shared" si="4"/>
        <v>0</v>
      </c>
    </row>
    <row r="320" spans="1:11" ht="15.95" customHeight="1" x14ac:dyDescent="0.2">
      <c r="A320" s="139" t="s">
        <v>1809</v>
      </c>
      <c r="B320" s="480" t="s">
        <v>1810</v>
      </c>
      <c r="C320" s="476"/>
      <c r="D320" s="476"/>
      <c r="E320" s="155">
        <v>-383.4</v>
      </c>
      <c r="F320" s="155">
        <v>383.4</v>
      </c>
      <c r="G320" s="22"/>
      <c r="H320" s="155">
        <v>0</v>
      </c>
      <c r="I320" s="22"/>
      <c r="J320" s="155">
        <v>0</v>
      </c>
      <c r="K320" s="22">
        <f t="shared" si="4"/>
        <v>383.4</v>
      </c>
    </row>
    <row r="321" spans="1:11" ht="15.95" customHeight="1" x14ac:dyDescent="0.2">
      <c r="A321" s="139" t="s">
        <v>556</v>
      </c>
      <c r="B321" s="480" t="s">
        <v>557</v>
      </c>
      <c r="C321" s="476"/>
      <c r="D321" s="476"/>
      <c r="E321" s="155">
        <v>-1194.03</v>
      </c>
      <c r="F321" s="155">
        <v>13361.72</v>
      </c>
      <c r="G321" s="22"/>
      <c r="H321" s="155">
        <v>13527.9</v>
      </c>
      <c r="I321" s="22"/>
      <c r="J321" s="155">
        <v>-1360.21</v>
      </c>
      <c r="K321" s="22">
        <f t="shared" si="4"/>
        <v>-166.18000000000006</v>
      </c>
    </row>
    <row r="322" spans="1:11" ht="15.95" customHeight="1" x14ac:dyDescent="0.2">
      <c r="A322" s="139" t="s">
        <v>558</v>
      </c>
      <c r="B322" s="480" t="s">
        <v>559</v>
      </c>
      <c r="C322" s="476"/>
      <c r="D322" s="476"/>
      <c r="E322" s="155">
        <v>0</v>
      </c>
      <c r="F322" s="155">
        <v>31968</v>
      </c>
      <c r="G322" s="22"/>
      <c r="H322" s="155">
        <v>41256</v>
      </c>
      <c r="I322" s="22"/>
      <c r="J322" s="155">
        <v>-9288</v>
      </c>
      <c r="K322" s="22">
        <f t="shared" si="4"/>
        <v>-9288</v>
      </c>
    </row>
    <row r="323" spans="1:11" ht="15.95" customHeight="1" x14ac:dyDescent="0.2">
      <c r="A323" s="139" t="s">
        <v>560</v>
      </c>
      <c r="B323" s="480" t="s">
        <v>561</v>
      </c>
      <c r="C323" s="476"/>
      <c r="D323" s="476"/>
      <c r="E323" s="155">
        <v>0</v>
      </c>
      <c r="F323" s="155">
        <v>37500</v>
      </c>
      <c r="G323" s="22"/>
      <c r="H323" s="155">
        <v>37500</v>
      </c>
      <c r="I323" s="22"/>
      <c r="J323" s="155">
        <v>0</v>
      </c>
      <c r="K323" s="22">
        <f t="shared" si="4"/>
        <v>0</v>
      </c>
    </row>
    <row r="324" spans="1:11" ht="15.95" customHeight="1" x14ac:dyDescent="0.2">
      <c r="A324" s="139" t="s">
        <v>562</v>
      </c>
      <c r="B324" s="480" t="s">
        <v>563</v>
      </c>
      <c r="C324" s="476"/>
      <c r="D324" s="476"/>
      <c r="E324" s="155">
        <v>0</v>
      </c>
      <c r="F324" s="155">
        <v>1749367.18</v>
      </c>
      <c r="G324" s="22"/>
      <c r="H324" s="155">
        <v>1749367.18</v>
      </c>
      <c r="I324" s="22"/>
      <c r="J324" s="155">
        <v>0</v>
      </c>
      <c r="K324" s="22">
        <f t="shared" ref="K324:K387" si="5">J324-E324</f>
        <v>0</v>
      </c>
    </row>
    <row r="325" spans="1:11" ht="15.95" customHeight="1" x14ac:dyDescent="0.2">
      <c r="A325" s="139" t="s">
        <v>564</v>
      </c>
      <c r="B325" s="480" t="s">
        <v>565</v>
      </c>
      <c r="C325" s="476"/>
      <c r="D325" s="476"/>
      <c r="E325" s="155">
        <v>0</v>
      </c>
      <c r="F325" s="155">
        <v>8860</v>
      </c>
      <c r="G325" s="22"/>
      <c r="H325" s="155">
        <v>8860</v>
      </c>
      <c r="I325" s="22"/>
      <c r="J325" s="155">
        <v>0</v>
      </c>
      <c r="K325" s="22">
        <f t="shared" si="5"/>
        <v>0</v>
      </c>
    </row>
    <row r="326" spans="1:11" ht="27.95" customHeight="1" x14ac:dyDescent="0.2">
      <c r="A326" s="139" t="s">
        <v>1811</v>
      </c>
      <c r="B326" s="480" t="s">
        <v>1812</v>
      </c>
      <c r="C326" s="476"/>
      <c r="D326" s="476"/>
      <c r="E326" s="155">
        <v>0</v>
      </c>
      <c r="F326" s="155">
        <v>1600</v>
      </c>
      <c r="G326" s="22"/>
      <c r="H326" s="155">
        <v>1600</v>
      </c>
      <c r="I326" s="22"/>
      <c r="J326" s="155">
        <v>0</v>
      </c>
      <c r="K326" s="22">
        <f t="shared" si="5"/>
        <v>0</v>
      </c>
    </row>
    <row r="327" spans="1:11" ht="15.95" customHeight="1" x14ac:dyDescent="0.2">
      <c r="A327" s="139" t="s">
        <v>1813</v>
      </c>
      <c r="B327" s="480" t="s">
        <v>1814</v>
      </c>
      <c r="C327" s="476"/>
      <c r="D327" s="476"/>
      <c r="E327" s="155">
        <v>0</v>
      </c>
      <c r="F327" s="155">
        <v>925541.03</v>
      </c>
      <c r="G327" s="22"/>
      <c r="H327" s="155">
        <v>925541.03</v>
      </c>
      <c r="I327" s="22"/>
      <c r="J327" s="155">
        <v>0</v>
      </c>
      <c r="K327" s="22">
        <f t="shared" si="5"/>
        <v>0</v>
      </c>
    </row>
    <row r="328" spans="1:11" ht="15.95" customHeight="1" x14ac:dyDescent="0.2">
      <c r="A328" s="139" t="s">
        <v>1815</v>
      </c>
      <c r="B328" s="480" t="s">
        <v>1816</v>
      </c>
      <c r="C328" s="476"/>
      <c r="D328" s="476"/>
      <c r="E328" s="155">
        <v>0</v>
      </c>
      <c r="F328" s="155">
        <v>16099.12</v>
      </c>
      <c r="G328" s="22"/>
      <c r="H328" s="155">
        <v>26420.65</v>
      </c>
      <c r="I328" s="22"/>
      <c r="J328" s="155">
        <v>-10321.530000000001</v>
      </c>
      <c r="K328" s="22">
        <f t="shared" si="5"/>
        <v>-10321.530000000001</v>
      </c>
    </row>
    <row r="329" spans="1:11" ht="15.95" customHeight="1" x14ac:dyDescent="0.2">
      <c r="A329" s="139" t="s">
        <v>1817</v>
      </c>
      <c r="B329" s="480" t="s">
        <v>1818</v>
      </c>
      <c r="C329" s="476"/>
      <c r="D329" s="476"/>
      <c r="E329" s="155">
        <v>0</v>
      </c>
      <c r="F329" s="155">
        <v>5742</v>
      </c>
      <c r="G329" s="22"/>
      <c r="H329" s="155">
        <v>5742</v>
      </c>
      <c r="I329" s="22"/>
      <c r="J329" s="155">
        <v>0</v>
      </c>
      <c r="K329" s="22">
        <f t="shared" si="5"/>
        <v>0</v>
      </c>
    </row>
    <row r="330" spans="1:11" ht="15.95" customHeight="1" x14ac:dyDescent="0.2">
      <c r="A330" s="139" t="s">
        <v>1819</v>
      </c>
      <c r="B330" s="480" t="s">
        <v>1820</v>
      </c>
      <c r="C330" s="476"/>
      <c r="D330" s="476"/>
      <c r="E330" s="155">
        <v>0</v>
      </c>
      <c r="F330" s="155">
        <v>765</v>
      </c>
      <c r="G330" s="22"/>
      <c r="H330" s="155">
        <v>765</v>
      </c>
      <c r="I330" s="22"/>
      <c r="J330" s="155">
        <v>0</v>
      </c>
      <c r="K330" s="22">
        <f t="shared" si="5"/>
        <v>0</v>
      </c>
    </row>
    <row r="331" spans="1:11" ht="15.95" customHeight="1" x14ac:dyDescent="0.2">
      <c r="A331" s="139" t="s">
        <v>1821</v>
      </c>
      <c r="B331" s="480" t="s">
        <v>1822</v>
      </c>
      <c r="C331" s="476"/>
      <c r="D331" s="476"/>
      <c r="E331" s="155">
        <v>0</v>
      </c>
      <c r="F331" s="155">
        <v>0</v>
      </c>
      <c r="G331" s="22"/>
      <c r="H331" s="155">
        <v>49000</v>
      </c>
      <c r="I331" s="22"/>
      <c r="J331" s="155">
        <v>-49000</v>
      </c>
      <c r="K331" s="22">
        <f t="shared" si="5"/>
        <v>-49000</v>
      </c>
    </row>
    <row r="332" spans="1:11" ht="15.95" customHeight="1" x14ac:dyDescent="0.2">
      <c r="A332" s="139" t="s">
        <v>1823</v>
      </c>
      <c r="B332" s="480" t="s">
        <v>1824</v>
      </c>
      <c r="C332" s="476"/>
      <c r="D332" s="476"/>
      <c r="E332" s="155">
        <v>0</v>
      </c>
      <c r="F332" s="155">
        <v>741</v>
      </c>
      <c r="G332" s="22"/>
      <c r="H332" s="155">
        <v>741</v>
      </c>
      <c r="I332" s="22"/>
      <c r="J332" s="155">
        <v>0</v>
      </c>
      <c r="K332" s="22">
        <f t="shared" si="5"/>
        <v>0</v>
      </c>
    </row>
    <row r="333" spans="1:11" ht="15.95" customHeight="1" x14ac:dyDescent="0.2">
      <c r="A333" s="139" t="s">
        <v>1825</v>
      </c>
      <c r="B333" s="480" t="s">
        <v>1826</v>
      </c>
      <c r="C333" s="476"/>
      <c r="D333" s="476"/>
      <c r="E333" s="155">
        <v>0</v>
      </c>
      <c r="F333" s="155">
        <v>635.1</v>
      </c>
      <c r="G333" s="22"/>
      <c r="H333" s="155">
        <v>635.1</v>
      </c>
      <c r="I333" s="22"/>
      <c r="J333" s="155">
        <v>0</v>
      </c>
      <c r="K333" s="22">
        <f t="shared" si="5"/>
        <v>0</v>
      </c>
    </row>
    <row r="334" spans="1:11" ht="15.95" customHeight="1" x14ac:dyDescent="0.2">
      <c r="A334" s="139">
        <v>2110102</v>
      </c>
      <c r="B334" s="480" t="s">
        <v>566</v>
      </c>
      <c r="C334" s="476"/>
      <c r="D334" s="476"/>
      <c r="E334" s="155">
        <v>-5934.54</v>
      </c>
      <c r="F334" s="155">
        <v>2545332.8199999998</v>
      </c>
      <c r="G334" s="22"/>
      <c r="H334" s="155">
        <v>2707192.19</v>
      </c>
      <c r="I334" s="22"/>
      <c r="J334" s="155">
        <v>-167793.91</v>
      </c>
      <c r="K334" s="22">
        <f t="shared" si="5"/>
        <v>-161859.37</v>
      </c>
    </row>
    <row r="335" spans="1:11" ht="15.95" customHeight="1" x14ac:dyDescent="0.2">
      <c r="A335" s="139" t="s">
        <v>567</v>
      </c>
      <c r="B335" s="480" t="s">
        <v>568</v>
      </c>
      <c r="C335" s="476"/>
      <c r="D335" s="476"/>
      <c r="E335" s="155">
        <v>0</v>
      </c>
      <c r="F335" s="155">
        <v>1304</v>
      </c>
      <c r="G335" s="22"/>
      <c r="H335" s="155">
        <v>1304</v>
      </c>
      <c r="I335" s="22"/>
      <c r="J335" s="155">
        <v>0</v>
      </c>
      <c r="K335" s="22">
        <f t="shared" si="5"/>
        <v>0</v>
      </c>
    </row>
    <row r="336" spans="1:11" ht="15.95" customHeight="1" x14ac:dyDescent="0.2">
      <c r="A336" s="139" t="s">
        <v>569</v>
      </c>
      <c r="B336" s="480" t="s">
        <v>570</v>
      </c>
      <c r="C336" s="476"/>
      <c r="D336" s="476"/>
      <c r="E336" s="155">
        <v>0</v>
      </c>
      <c r="F336" s="155">
        <v>138537.67000000001</v>
      </c>
      <c r="G336" s="22"/>
      <c r="H336" s="155">
        <v>138537.67000000001</v>
      </c>
      <c r="I336" s="22"/>
      <c r="J336" s="155">
        <v>0</v>
      </c>
      <c r="K336" s="22">
        <f t="shared" si="5"/>
        <v>0</v>
      </c>
    </row>
    <row r="337" spans="1:11" ht="15.95" customHeight="1" x14ac:dyDescent="0.2">
      <c r="A337" s="139" t="s">
        <v>571</v>
      </c>
      <c r="B337" s="480" t="s">
        <v>572</v>
      </c>
      <c r="C337" s="476"/>
      <c r="D337" s="476"/>
      <c r="E337" s="155">
        <v>0</v>
      </c>
      <c r="F337" s="155">
        <v>19174.080000000002</v>
      </c>
      <c r="G337" s="22"/>
      <c r="H337" s="155">
        <v>19174.080000000002</v>
      </c>
      <c r="I337" s="22"/>
      <c r="J337" s="155">
        <v>0</v>
      </c>
      <c r="K337" s="22">
        <f t="shared" si="5"/>
        <v>0</v>
      </c>
    </row>
    <row r="338" spans="1:11" ht="15.95" customHeight="1" x14ac:dyDescent="0.2">
      <c r="A338" s="139" t="s">
        <v>573</v>
      </c>
      <c r="B338" s="480" t="s">
        <v>574</v>
      </c>
      <c r="C338" s="476"/>
      <c r="D338" s="476"/>
      <c r="E338" s="155">
        <v>0</v>
      </c>
      <c r="F338" s="155">
        <v>87007.64</v>
      </c>
      <c r="G338" s="22"/>
      <c r="H338" s="155">
        <v>87007.64</v>
      </c>
      <c r="I338" s="22"/>
      <c r="J338" s="155">
        <v>0</v>
      </c>
      <c r="K338" s="22">
        <f t="shared" si="5"/>
        <v>0</v>
      </c>
    </row>
    <row r="339" spans="1:11" ht="15.95" customHeight="1" x14ac:dyDescent="0.2">
      <c r="A339" s="139" t="s">
        <v>575</v>
      </c>
      <c r="B339" s="480" t="s">
        <v>576</v>
      </c>
      <c r="C339" s="476"/>
      <c r="D339" s="476"/>
      <c r="E339" s="155">
        <v>-1600</v>
      </c>
      <c r="F339" s="155">
        <v>22083</v>
      </c>
      <c r="G339" s="22"/>
      <c r="H339" s="155">
        <v>20486</v>
      </c>
      <c r="I339" s="22"/>
      <c r="J339" s="155">
        <v>-3</v>
      </c>
      <c r="K339" s="22">
        <f t="shared" si="5"/>
        <v>1597</v>
      </c>
    </row>
    <row r="340" spans="1:11" ht="15.95" customHeight="1" x14ac:dyDescent="0.2">
      <c r="A340" s="139" t="s">
        <v>1610</v>
      </c>
      <c r="B340" s="480" t="s">
        <v>1611</v>
      </c>
      <c r="C340" s="476"/>
      <c r="D340" s="476"/>
      <c r="E340" s="155">
        <v>0</v>
      </c>
      <c r="F340" s="155">
        <v>1690</v>
      </c>
      <c r="G340" s="22"/>
      <c r="H340" s="155">
        <v>1690</v>
      </c>
      <c r="I340" s="22"/>
      <c r="J340" s="155">
        <v>0</v>
      </c>
      <c r="K340" s="22">
        <f t="shared" si="5"/>
        <v>0</v>
      </c>
    </row>
    <row r="341" spans="1:11" ht="15.95" customHeight="1" x14ac:dyDescent="0.2">
      <c r="A341" s="139" t="s">
        <v>577</v>
      </c>
      <c r="B341" s="480" t="s">
        <v>578</v>
      </c>
      <c r="C341" s="476"/>
      <c r="D341" s="476"/>
      <c r="E341" s="155">
        <v>0</v>
      </c>
      <c r="F341" s="155">
        <v>17362</v>
      </c>
      <c r="G341" s="22"/>
      <c r="H341" s="155">
        <v>17362</v>
      </c>
      <c r="I341" s="22"/>
      <c r="J341" s="155">
        <v>0</v>
      </c>
      <c r="K341" s="22">
        <f t="shared" si="5"/>
        <v>0</v>
      </c>
    </row>
    <row r="342" spans="1:11" ht="15.95" customHeight="1" x14ac:dyDescent="0.2">
      <c r="A342" s="139" t="s">
        <v>579</v>
      </c>
      <c r="B342" s="480" t="s">
        <v>580</v>
      </c>
      <c r="C342" s="476"/>
      <c r="D342" s="476"/>
      <c r="E342" s="155">
        <v>0</v>
      </c>
      <c r="F342" s="155">
        <v>11556.67</v>
      </c>
      <c r="G342" s="22"/>
      <c r="H342" s="155">
        <v>11556.67</v>
      </c>
      <c r="I342" s="22"/>
      <c r="J342" s="155">
        <v>0</v>
      </c>
      <c r="K342" s="22">
        <f t="shared" si="5"/>
        <v>0</v>
      </c>
    </row>
    <row r="343" spans="1:11" ht="15.95" customHeight="1" x14ac:dyDescent="0.2">
      <c r="A343" s="139" t="s">
        <v>581</v>
      </c>
      <c r="B343" s="480" t="s">
        <v>582</v>
      </c>
      <c r="C343" s="476"/>
      <c r="D343" s="476"/>
      <c r="E343" s="155">
        <v>0</v>
      </c>
      <c r="F343" s="155">
        <v>1934126.05</v>
      </c>
      <c r="G343" s="22"/>
      <c r="H343" s="155">
        <v>1934126.05</v>
      </c>
      <c r="I343" s="22"/>
      <c r="J343" s="155">
        <v>0</v>
      </c>
      <c r="K343" s="22">
        <f t="shared" si="5"/>
        <v>0</v>
      </c>
    </row>
    <row r="344" spans="1:11" ht="15.95" customHeight="1" x14ac:dyDescent="0.2">
      <c r="A344" s="139" t="s">
        <v>1827</v>
      </c>
      <c r="B344" s="480" t="s">
        <v>1828</v>
      </c>
      <c r="C344" s="476"/>
      <c r="D344" s="476"/>
      <c r="E344" s="155">
        <v>0</v>
      </c>
      <c r="F344" s="155">
        <v>8700</v>
      </c>
      <c r="G344" s="22"/>
      <c r="H344" s="155">
        <v>8700</v>
      </c>
      <c r="I344" s="22"/>
      <c r="J344" s="155">
        <v>0</v>
      </c>
      <c r="K344" s="22">
        <f t="shared" si="5"/>
        <v>0</v>
      </c>
    </row>
    <row r="345" spans="1:11" ht="15.95" customHeight="1" x14ac:dyDescent="0.2">
      <c r="A345" s="139" t="s">
        <v>583</v>
      </c>
      <c r="B345" s="480" t="s">
        <v>584</v>
      </c>
      <c r="C345" s="476"/>
      <c r="D345" s="476"/>
      <c r="E345" s="155">
        <v>-3793.16</v>
      </c>
      <c r="F345" s="155">
        <v>0</v>
      </c>
      <c r="G345" s="22"/>
      <c r="H345" s="155">
        <v>0</v>
      </c>
      <c r="I345" s="22"/>
      <c r="J345" s="155">
        <v>-3793.16</v>
      </c>
      <c r="K345" s="22">
        <f t="shared" si="5"/>
        <v>0</v>
      </c>
    </row>
    <row r="346" spans="1:11" ht="15.95" customHeight="1" x14ac:dyDescent="0.2">
      <c r="A346" s="139" t="s">
        <v>585</v>
      </c>
      <c r="B346" s="480" t="s">
        <v>586</v>
      </c>
      <c r="C346" s="476"/>
      <c r="D346" s="476"/>
      <c r="E346" s="155">
        <v>0</v>
      </c>
      <c r="F346" s="155">
        <v>1477.45</v>
      </c>
      <c r="G346" s="22"/>
      <c r="H346" s="155">
        <v>1477.45</v>
      </c>
      <c r="I346" s="22"/>
      <c r="J346" s="155">
        <v>0</v>
      </c>
      <c r="K346" s="22">
        <f t="shared" si="5"/>
        <v>0</v>
      </c>
    </row>
    <row r="347" spans="1:11" ht="15.95" customHeight="1" x14ac:dyDescent="0.2">
      <c r="A347" s="139" t="s">
        <v>1829</v>
      </c>
      <c r="B347" s="480" t="s">
        <v>1830</v>
      </c>
      <c r="C347" s="476"/>
      <c r="D347" s="476"/>
      <c r="E347" s="155">
        <v>0</v>
      </c>
      <c r="F347" s="155">
        <v>700</v>
      </c>
      <c r="G347" s="22"/>
      <c r="H347" s="155">
        <v>700</v>
      </c>
      <c r="I347" s="22"/>
      <c r="J347" s="155">
        <v>0</v>
      </c>
      <c r="K347" s="22">
        <f t="shared" si="5"/>
        <v>0</v>
      </c>
    </row>
    <row r="348" spans="1:11" ht="15.95" customHeight="1" x14ac:dyDescent="0.2">
      <c r="A348" s="139" t="s">
        <v>587</v>
      </c>
      <c r="B348" s="480" t="s">
        <v>588</v>
      </c>
      <c r="C348" s="476"/>
      <c r="D348" s="476"/>
      <c r="E348" s="155">
        <v>0</v>
      </c>
      <c r="F348" s="155">
        <v>0</v>
      </c>
      <c r="G348" s="22"/>
      <c r="H348" s="155">
        <v>163997.75</v>
      </c>
      <c r="I348" s="22"/>
      <c r="J348" s="155">
        <v>-163997.75</v>
      </c>
      <c r="K348" s="22">
        <f t="shared" si="5"/>
        <v>-163997.75</v>
      </c>
    </row>
    <row r="349" spans="1:11" ht="15.95" customHeight="1" x14ac:dyDescent="0.2">
      <c r="A349" s="139" t="s">
        <v>589</v>
      </c>
      <c r="B349" s="480" t="s">
        <v>590</v>
      </c>
      <c r="C349" s="476"/>
      <c r="D349" s="476"/>
      <c r="E349" s="155">
        <v>0</v>
      </c>
      <c r="F349" s="155">
        <v>1900</v>
      </c>
      <c r="G349" s="22"/>
      <c r="H349" s="155">
        <v>1900</v>
      </c>
      <c r="I349" s="22"/>
      <c r="J349" s="155">
        <v>0</v>
      </c>
      <c r="K349" s="22">
        <f t="shared" si="5"/>
        <v>0</v>
      </c>
    </row>
    <row r="350" spans="1:11" ht="15.95" customHeight="1" x14ac:dyDescent="0.2">
      <c r="A350" s="139" t="s">
        <v>591</v>
      </c>
      <c r="B350" s="480" t="s">
        <v>592</v>
      </c>
      <c r="C350" s="476"/>
      <c r="D350" s="476"/>
      <c r="E350" s="155">
        <v>0</v>
      </c>
      <c r="F350" s="155">
        <v>15000</v>
      </c>
      <c r="G350" s="22"/>
      <c r="H350" s="155">
        <v>15000</v>
      </c>
      <c r="I350" s="22"/>
      <c r="J350" s="155">
        <v>0</v>
      </c>
      <c r="K350" s="22">
        <f t="shared" si="5"/>
        <v>0</v>
      </c>
    </row>
    <row r="351" spans="1:11" ht="15.95" customHeight="1" x14ac:dyDescent="0.2">
      <c r="A351" s="139" t="s">
        <v>593</v>
      </c>
      <c r="B351" s="480" t="s">
        <v>594</v>
      </c>
      <c r="C351" s="476"/>
      <c r="D351" s="476"/>
      <c r="E351" s="155">
        <v>0</v>
      </c>
      <c r="F351" s="155">
        <v>170170</v>
      </c>
      <c r="G351" s="22"/>
      <c r="H351" s="155">
        <v>170170</v>
      </c>
      <c r="I351" s="22"/>
      <c r="J351" s="155">
        <v>0</v>
      </c>
      <c r="K351" s="22">
        <f t="shared" si="5"/>
        <v>0</v>
      </c>
    </row>
    <row r="352" spans="1:11" ht="15.95" customHeight="1" x14ac:dyDescent="0.2">
      <c r="A352" s="139" t="s">
        <v>595</v>
      </c>
      <c r="B352" s="480" t="s">
        <v>596</v>
      </c>
      <c r="C352" s="476"/>
      <c r="D352" s="476"/>
      <c r="E352" s="155">
        <v>0</v>
      </c>
      <c r="F352" s="155">
        <v>1290</v>
      </c>
      <c r="G352" s="22"/>
      <c r="H352" s="155">
        <v>1290</v>
      </c>
      <c r="I352" s="22"/>
      <c r="J352" s="155">
        <v>0</v>
      </c>
      <c r="K352" s="22">
        <f t="shared" si="5"/>
        <v>0</v>
      </c>
    </row>
    <row r="353" spans="1:11" ht="15.95" customHeight="1" x14ac:dyDescent="0.2">
      <c r="A353" s="139" t="s">
        <v>597</v>
      </c>
      <c r="B353" s="480" t="s">
        <v>598</v>
      </c>
      <c r="C353" s="476"/>
      <c r="D353" s="476"/>
      <c r="E353" s="155">
        <v>-541.38</v>
      </c>
      <c r="F353" s="155">
        <v>7305.61</v>
      </c>
      <c r="G353" s="22"/>
      <c r="H353" s="155">
        <v>6764.23</v>
      </c>
      <c r="I353" s="22"/>
      <c r="J353" s="155">
        <v>0</v>
      </c>
      <c r="K353" s="22">
        <f t="shared" si="5"/>
        <v>541.38</v>
      </c>
    </row>
    <row r="354" spans="1:11" ht="15.95" customHeight="1" x14ac:dyDescent="0.2">
      <c r="A354" s="139" t="s">
        <v>599</v>
      </c>
      <c r="B354" s="480" t="s">
        <v>600</v>
      </c>
      <c r="C354" s="476"/>
      <c r="D354" s="476"/>
      <c r="E354" s="155">
        <v>0</v>
      </c>
      <c r="F354" s="155">
        <v>13848.01</v>
      </c>
      <c r="G354" s="22"/>
      <c r="H354" s="155">
        <v>13848.01</v>
      </c>
      <c r="I354" s="22"/>
      <c r="J354" s="155">
        <v>0</v>
      </c>
      <c r="K354" s="22">
        <f t="shared" si="5"/>
        <v>0</v>
      </c>
    </row>
    <row r="355" spans="1:11" ht="15.95" customHeight="1" x14ac:dyDescent="0.2">
      <c r="A355" s="139" t="s">
        <v>601</v>
      </c>
      <c r="B355" s="480" t="s">
        <v>602</v>
      </c>
      <c r="C355" s="476"/>
      <c r="D355" s="476"/>
      <c r="E355" s="155">
        <v>0</v>
      </c>
      <c r="F355" s="155">
        <v>28453.99</v>
      </c>
      <c r="G355" s="22"/>
      <c r="H355" s="155">
        <v>28453.99</v>
      </c>
      <c r="I355" s="22"/>
      <c r="J355" s="155">
        <v>0</v>
      </c>
      <c r="K355" s="22">
        <f t="shared" si="5"/>
        <v>0</v>
      </c>
    </row>
    <row r="356" spans="1:11" ht="15.95" customHeight="1" x14ac:dyDescent="0.2">
      <c r="A356" s="139" t="s">
        <v>1831</v>
      </c>
      <c r="B356" s="480" t="s">
        <v>1832</v>
      </c>
      <c r="C356" s="476"/>
      <c r="D356" s="476"/>
      <c r="E356" s="155">
        <v>0</v>
      </c>
      <c r="F356" s="155">
        <v>8340</v>
      </c>
      <c r="G356" s="22"/>
      <c r="H356" s="155">
        <v>8340</v>
      </c>
      <c r="I356" s="22"/>
      <c r="J356" s="155">
        <v>0</v>
      </c>
      <c r="K356" s="22">
        <f t="shared" si="5"/>
        <v>0</v>
      </c>
    </row>
    <row r="357" spans="1:11" ht="15.95" customHeight="1" x14ac:dyDescent="0.2">
      <c r="A357" s="139" t="s">
        <v>603</v>
      </c>
      <c r="B357" s="480" t="s">
        <v>604</v>
      </c>
      <c r="C357" s="476"/>
      <c r="D357" s="476"/>
      <c r="E357" s="155">
        <v>0</v>
      </c>
      <c r="F357" s="155">
        <v>30000</v>
      </c>
      <c r="G357" s="22"/>
      <c r="H357" s="155">
        <v>30000</v>
      </c>
      <c r="I357" s="22"/>
      <c r="J357" s="155">
        <v>0</v>
      </c>
      <c r="K357" s="22">
        <f t="shared" si="5"/>
        <v>0</v>
      </c>
    </row>
    <row r="358" spans="1:11" ht="15.95" customHeight="1" x14ac:dyDescent="0.2">
      <c r="A358" s="139" t="s">
        <v>605</v>
      </c>
      <c r="B358" s="480" t="s">
        <v>606</v>
      </c>
      <c r="C358" s="476"/>
      <c r="D358" s="476"/>
      <c r="E358" s="155">
        <v>0</v>
      </c>
      <c r="F358" s="155">
        <v>1340</v>
      </c>
      <c r="G358" s="22"/>
      <c r="H358" s="155">
        <v>1340</v>
      </c>
      <c r="I358" s="22"/>
      <c r="J358" s="155">
        <v>0</v>
      </c>
      <c r="K358" s="22">
        <f t="shared" si="5"/>
        <v>0</v>
      </c>
    </row>
    <row r="359" spans="1:11" ht="15.95" customHeight="1" x14ac:dyDescent="0.2">
      <c r="A359" s="139" t="s">
        <v>607</v>
      </c>
      <c r="B359" s="480" t="s">
        <v>608</v>
      </c>
      <c r="C359" s="476"/>
      <c r="D359" s="476"/>
      <c r="E359" s="155">
        <v>0</v>
      </c>
      <c r="F359" s="155">
        <v>6862.8</v>
      </c>
      <c r="G359" s="22"/>
      <c r="H359" s="155">
        <v>6862.8</v>
      </c>
      <c r="I359" s="22"/>
      <c r="J359" s="155">
        <v>0</v>
      </c>
      <c r="K359" s="22">
        <f t="shared" si="5"/>
        <v>0</v>
      </c>
    </row>
    <row r="360" spans="1:11" ht="15.95" customHeight="1" x14ac:dyDescent="0.2">
      <c r="A360" s="139" t="s">
        <v>609</v>
      </c>
      <c r="B360" s="480" t="s">
        <v>610</v>
      </c>
      <c r="C360" s="476"/>
      <c r="D360" s="476"/>
      <c r="E360" s="155">
        <v>0</v>
      </c>
      <c r="F360" s="155">
        <v>3621.3</v>
      </c>
      <c r="G360" s="22"/>
      <c r="H360" s="155">
        <v>3621.3</v>
      </c>
      <c r="I360" s="22"/>
      <c r="J360" s="155">
        <v>0</v>
      </c>
      <c r="K360" s="22">
        <f t="shared" si="5"/>
        <v>0</v>
      </c>
    </row>
    <row r="361" spans="1:11" ht="15.95" customHeight="1" x14ac:dyDescent="0.2">
      <c r="A361" s="139" t="s">
        <v>611</v>
      </c>
      <c r="B361" s="480" t="s">
        <v>612</v>
      </c>
      <c r="C361" s="476"/>
      <c r="D361" s="476"/>
      <c r="E361" s="155">
        <v>0</v>
      </c>
      <c r="F361" s="155">
        <v>1040</v>
      </c>
      <c r="G361" s="22"/>
      <c r="H361" s="155">
        <v>1040</v>
      </c>
      <c r="I361" s="22"/>
      <c r="J361" s="155">
        <v>0</v>
      </c>
      <c r="K361" s="22">
        <f t="shared" si="5"/>
        <v>0</v>
      </c>
    </row>
    <row r="362" spans="1:11" ht="15.95" customHeight="1" x14ac:dyDescent="0.2">
      <c r="A362" s="139" t="s">
        <v>613</v>
      </c>
      <c r="B362" s="480" t="s">
        <v>614</v>
      </c>
      <c r="C362" s="476"/>
      <c r="D362" s="476"/>
      <c r="E362" s="155">
        <v>0</v>
      </c>
      <c r="F362" s="155">
        <v>12200</v>
      </c>
      <c r="G362" s="22"/>
      <c r="H362" s="155">
        <v>12200</v>
      </c>
      <c r="I362" s="22"/>
      <c r="J362" s="155">
        <v>0</v>
      </c>
      <c r="K362" s="22">
        <f t="shared" si="5"/>
        <v>0</v>
      </c>
    </row>
    <row r="363" spans="1:11" ht="15.95" customHeight="1" x14ac:dyDescent="0.2">
      <c r="A363" s="139" t="s">
        <v>1833</v>
      </c>
      <c r="B363" s="480" t="s">
        <v>1834</v>
      </c>
      <c r="C363" s="476"/>
      <c r="D363" s="476"/>
      <c r="E363" s="155">
        <v>0</v>
      </c>
      <c r="F363" s="155">
        <v>242.55</v>
      </c>
      <c r="G363" s="22"/>
      <c r="H363" s="155">
        <v>242.55</v>
      </c>
      <c r="I363" s="22"/>
      <c r="J363" s="155">
        <v>0</v>
      </c>
      <c r="K363" s="22">
        <f t="shared" si="5"/>
        <v>0</v>
      </c>
    </row>
    <row r="364" spans="1:11" ht="15.95" customHeight="1" x14ac:dyDescent="0.2">
      <c r="A364" s="141">
        <v>213</v>
      </c>
      <c r="B364" s="481" t="s">
        <v>615</v>
      </c>
      <c r="C364" s="482"/>
      <c r="D364" s="482"/>
      <c r="E364" s="156">
        <v>-2715092.86</v>
      </c>
      <c r="F364" s="156">
        <v>13372810.92</v>
      </c>
      <c r="G364" s="25"/>
      <c r="H364" s="156">
        <v>13512737.619999999</v>
      </c>
      <c r="I364" s="25"/>
      <c r="J364" s="156">
        <v>-2855019.56</v>
      </c>
      <c r="K364" s="25">
        <f t="shared" si="5"/>
        <v>-139926.70000000019</v>
      </c>
    </row>
    <row r="365" spans="1:11" ht="15.95" customHeight="1" x14ac:dyDescent="0.2">
      <c r="A365" s="139">
        <v>21301</v>
      </c>
      <c r="B365" s="480" t="s">
        <v>615</v>
      </c>
      <c r="C365" s="476"/>
      <c r="D365" s="476"/>
      <c r="E365" s="155">
        <v>-2715092.86</v>
      </c>
      <c r="F365" s="155">
        <v>13372810.92</v>
      </c>
      <c r="G365" s="22"/>
      <c r="H365" s="155">
        <v>13512737.619999999</v>
      </c>
      <c r="I365" s="22"/>
      <c r="J365" s="155">
        <v>-2855019.56</v>
      </c>
      <c r="K365" s="22">
        <f t="shared" si="5"/>
        <v>-139926.70000000019</v>
      </c>
    </row>
    <row r="366" spans="1:11" ht="15.95" customHeight="1" x14ac:dyDescent="0.2">
      <c r="A366" s="139">
        <v>2130101</v>
      </c>
      <c r="B366" s="480" t="s">
        <v>615</v>
      </c>
      <c r="C366" s="476"/>
      <c r="D366" s="476"/>
      <c r="E366" s="155">
        <v>-2715092.86</v>
      </c>
      <c r="F366" s="155">
        <v>13372810.92</v>
      </c>
      <c r="G366" s="22"/>
      <c r="H366" s="155">
        <v>13512737.619999999</v>
      </c>
      <c r="I366" s="22"/>
      <c r="J366" s="155">
        <v>-2855019.56</v>
      </c>
      <c r="K366" s="22">
        <f t="shared" si="5"/>
        <v>-139926.70000000019</v>
      </c>
    </row>
    <row r="367" spans="1:11" ht="15.95" customHeight="1" x14ac:dyDescent="0.2">
      <c r="A367" s="139" t="s">
        <v>616</v>
      </c>
      <c r="B367" s="480" t="s">
        <v>617</v>
      </c>
      <c r="C367" s="476"/>
      <c r="D367" s="476"/>
      <c r="E367" s="155">
        <v>-526958.93000000005</v>
      </c>
      <c r="F367" s="155">
        <v>9402339.3100000005</v>
      </c>
      <c r="G367" s="22"/>
      <c r="H367" s="155">
        <v>9597760.4100000001</v>
      </c>
      <c r="I367" s="22"/>
      <c r="J367" s="155">
        <v>-722380.03</v>
      </c>
      <c r="K367" s="22">
        <f t="shared" si="5"/>
        <v>-195421.09999999998</v>
      </c>
    </row>
    <row r="368" spans="1:11" ht="15.95" customHeight="1" x14ac:dyDescent="0.2">
      <c r="A368" s="139" t="s">
        <v>618</v>
      </c>
      <c r="B368" s="480" t="s">
        <v>619</v>
      </c>
      <c r="C368" s="476"/>
      <c r="D368" s="476"/>
      <c r="E368" s="155">
        <v>0</v>
      </c>
      <c r="F368" s="155">
        <v>1730910.67</v>
      </c>
      <c r="G368" s="22"/>
      <c r="H368" s="155">
        <v>1730910.67</v>
      </c>
      <c r="I368" s="22"/>
      <c r="J368" s="155">
        <v>0</v>
      </c>
      <c r="K368" s="22">
        <f t="shared" si="5"/>
        <v>0</v>
      </c>
    </row>
    <row r="369" spans="1:11" ht="15.95" customHeight="1" x14ac:dyDescent="0.2">
      <c r="A369" s="139" t="s">
        <v>620</v>
      </c>
      <c r="B369" s="480" t="s">
        <v>621</v>
      </c>
      <c r="C369" s="476"/>
      <c r="D369" s="476"/>
      <c r="E369" s="155">
        <v>-142268.78</v>
      </c>
      <c r="F369" s="155">
        <v>1542219.06</v>
      </c>
      <c r="G369" s="22"/>
      <c r="H369" s="155">
        <v>1399950.28</v>
      </c>
      <c r="I369" s="22"/>
      <c r="J369" s="155">
        <v>0</v>
      </c>
      <c r="K369" s="22">
        <f t="shared" si="5"/>
        <v>142268.78</v>
      </c>
    </row>
    <row r="370" spans="1:11" ht="15.95" customHeight="1" x14ac:dyDescent="0.2">
      <c r="A370" s="139" t="s">
        <v>622</v>
      </c>
      <c r="B370" s="480" t="s">
        <v>623</v>
      </c>
      <c r="C370" s="476"/>
      <c r="D370" s="476"/>
      <c r="E370" s="155">
        <v>-2013013.71</v>
      </c>
      <c r="F370" s="155">
        <v>419101.66</v>
      </c>
      <c r="G370" s="22"/>
      <c r="H370" s="155">
        <v>517162.96</v>
      </c>
      <c r="I370" s="22"/>
      <c r="J370" s="155">
        <v>-2111075.0099999998</v>
      </c>
      <c r="K370" s="22">
        <f t="shared" si="5"/>
        <v>-98061.299999999814</v>
      </c>
    </row>
    <row r="371" spans="1:11" ht="15.95" customHeight="1" x14ac:dyDescent="0.2">
      <c r="A371" s="139" t="s">
        <v>624</v>
      </c>
      <c r="B371" s="480" t="s">
        <v>625</v>
      </c>
      <c r="C371" s="476"/>
      <c r="D371" s="476"/>
      <c r="E371" s="155">
        <v>-1500</v>
      </c>
      <c r="F371" s="155">
        <v>1500</v>
      </c>
      <c r="G371" s="22"/>
      <c r="H371" s="155">
        <v>0</v>
      </c>
      <c r="I371" s="22"/>
      <c r="J371" s="155">
        <v>0</v>
      </c>
      <c r="K371" s="22">
        <f t="shared" si="5"/>
        <v>1500</v>
      </c>
    </row>
    <row r="372" spans="1:11" ht="15.95" customHeight="1" x14ac:dyDescent="0.2">
      <c r="A372" s="139" t="s">
        <v>626</v>
      </c>
      <c r="B372" s="480" t="s">
        <v>627</v>
      </c>
      <c r="C372" s="476"/>
      <c r="D372" s="476"/>
      <c r="E372" s="155">
        <v>-31351.439999999999</v>
      </c>
      <c r="F372" s="155">
        <v>276740.21999999997</v>
      </c>
      <c r="G372" s="22"/>
      <c r="H372" s="155">
        <v>266953.3</v>
      </c>
      <c r="I372" s="22"/>
      <c r="J372" s="155">
        <v>-21564.52</v>
      </c>
      <c r="K372" s="22">
        <f t="shared" si="5"/>
        <v>9786.9199999999983</v>
      </c>
    </row>
    <row r="373" spans="1:11" ht="15.95" customHeight="1" x14ac:dyDescent="0.2">
      <c r="A373" s="141">
        <v>214</v>
      </c>
      <c r="B373" s="481" t="s">
        <v>628</v>
      </c>
      <c r="C373" s="482"/>
      <c r="D373" s="482"/>
      <c r="E373" s="156">
        <v>-1926783.61</v>
      </c>
      <c r="F373" s="156">
        <v>12231363.060000001</v>
      </c>
      <c r="G373" s="25"/>
      <c r="H373" s="156">
        <v>14549768.039999999</v>
      </c>
      <c r="I373" s="25"/>
      <c r="J373" s="156">
        <v>-4245188.59</v>
      </c>
      <c r="K373" s="25">
        <f t="shared" si="5"/>
        <v>-2318404.9799999995</v>
      </c>
    </row>
    <row r="374" spans="1:11" ht="15.95" customHeight="1" x14ac:dyDescent="0.2">
      <c r="A374" s="139">
        <v>21401</v>
      </c>
      <c r="B374" s="480" t="s">
        <v>628</v>
      </c>
      <c r="C374" s="476"/>
      <c r="D374" s="476"/>
      <c r="E374" s="155">
        <v>-1926783.61</v>
      </c>
      <c r="F374" s="155">
        <v>12231363.060000001</v>
      </c>
      <c r="G374" s="22"/>
      <c r="H374" s="155">
        <v>14549768.039999999</v>
      </c>
      <c r="I374" s="22"/>
      <c r="J374" s="155">
        <v>-4245188.59</v>
      </c>
      <c r="K374" s="22">
        <f t="shared" si="5"/>
        <v>-2318404.9799999995</v>
      </c>
    </row>
    <row r="375" spans="1:11" ht="15.95" customHeight="1" x14ac:dyDescent="0.2">
      <c r="A375" s="139">
        <v>2140101</v>
      </c>
      <c r="B375" s="480" t="s">
        <v>628</v>
      </c>
      <c r="C375" s="476"/>
      <c r="D375" s="476"/>
      <c r="E375" s="155">
        <v>-1926783.61</v>
      </c>
      <c r="F375" s="155">
        <v>12231363.060000001</v>
      </c>
      <c r="G375" s="22"/>
      <c r="H375" s="155">
        <v>14549768.039999999</v>
      </c>
      <c r="I375" s="22"/>
      <c r="J375" s="155">
        <v>-4245188.59</v>
      </c>
      <c r="K375" s="22">
        <f t="shared" si="5"/>
        <v>-2318404.9799999995</v>
      </c>
    </row>
    <row r="376" spans="1:11" ht="15.95" customHeight="1" x14ac:dyDescent="0.2">
      <c r="A376" s="139" t="s">
        <v>629</v>
      </c>
      <c r="B376" s="480" t="s">
        <v>630</v>
      </c>
      <c r="C376" s="476"/>
      <c r="D376" s="476"/>
      <c r="E376" s="155">
        <v>-410675.5</v>
      </c>
      <c r="F376" s="155">
        <v>3089268.52</v>
      </c>
      <c r="G376" s="22"/>
      <c r="H376" s="155">
        <v>3592277.51</v>
      </c>
      <c r="I376" s="22"/>
      <c r="J376" s="155">
        <v>-913684.49</v>
      </c>
      <c r="K376" s="22">
        <f t="shared" si="5"/>
        <v>-503008.99</v>
      </c>
    </row>
    <row r="377" spans="1:11" ht="15.95" customHeight="1" x14ac:dyDescent="0.2">
      <c r="A377" s="139" t="s">
        <v>631</v>
      </c>
      <c r="B377" s="480" t="s">
        <v>632</v>
      </c>
      <c r="C377" s="476"/>
      <c r="D377" s="476"/>
      <c r="E377" s="155">
        <v>-147643.14000000001</v>
      </c>
      <c r="F377" s="155">
        <v>1512590.5</v>
      </c>
      <c r="G377" s="22"/>
      <c r="H377" s="155">
        <v>1611936.12</v>
      </c>
      <c r="I377" s="22"/>
      <c r="J377" s="155">
        <v>-246988.76</v>
      </c>
      <c r="K377" s="22">
        <f t="shared" si="5"/>
        <v>-99345.62</v>
      </c>
    </row>
    <row r="378" spans="1:11" ht="15.95" customHeight="1" x14ac:dyDescent="0.2">
      <c r="A378" s="139" t="s">
        <v>633</v>
      </c>
      <c r="B378" s="480" t="s">
        <v>634</v>
      </c>
      <c r="C378" s="476"/>
      <c r="D378" s="476"/>
      <c r="E378" s="155">
        <v>-629815.68000000005</v>
      </c>
      <c r="F378" s="155">
        <v>472361.76</v>
      </c>
      <c r="G378" s="22"/>
      <c r="H378" s="155">
        <v>629815.68000000005</v>
      </c>
      <c r="I378" s="22"/>
      <c r="J378" s="155">
        <v>-787269.6</v>
      </c>
      <c r="K378" s="22">
        <f t="shared" si="5"/>
        <v>-157453.91999999993</v>
      </c>
    </row>
    <row r="379" spans="1:11" ht="15.95" customHeight="1" x14ac:dyDescent="0.2">
      <c r="A379" s="139" t="s">
        <v>635</v>
      </c>
      <c r="B379" s="480" t="s">
        <v>636</v>
      </c>
      <c r="C379" s="476"/>
      <c r="D379" s="476"/>
      <c r="E379" s="155">
        <v>-213936.24</v>
      </c>
      <c r="F379" s="155">
        <v>2407238.39</v>
      </c>
      <c r="G379" s="22"/>
      <c r="H379" s="155">
        <v>2406590.48</v>
      </c>
      <c r="I379" s="22"/>
      <c r="J379" s="155">
        <v>-213288.33</v>
      </c>
      <c r="K379" s="22">
        <f t="shared" si="5"/>
        <v>647.91000000000349</v>
      </c>
    </row>
    <row r="380" spans="1:11" ht="27.95" customHeight="1" x14ac:dyDescent="0.2">
      <c r="A380" s="139" t="s">
        <v>637</v>
      </c>
      <c r="B380" s="480" t="s">
        <v>638</v>
      </c>
      <c r="C380" s="476"/>
      <c r="D380" s="476"/>
      <c r="E380" s="155">
        <v>-46414.7</v>
      </c>
      <c r="F380" s="155">
        <v>520855.15</v>
      </c>
      <c r="G380" s="22"/>
      <c r="H380" s="155">
        <v>520490.52</v>
      </c>
      <c r="I380" s="22"/>
      <c r="J380" s="155">
        <v>-46050.07</v>
      </c>
      <c r="K380" s="22">
        <f t="shared" si="5"/>
        <v>364.62999999999738</v>
      </c>
    </row>
    <row r="381" spans="1:11" ht="15.95" customHeight="1" x14ac:dyDescent="0.2">
      <c r="A381" s="139" t="s">
        <v>639</v>
      </c>
      <c r="B381" s="480" t="s">
        <v>640</v>
      </c>
      <c r="C381" s="476"/>
      <c r="D381" s="476"/>
      <c r="E381" s="155">
        <v>1177.45</v>
      </c>
      <c r="F381" s="155">
        <v>99674.02</v>
      </c>
      <c r="G381" s="22"/>
      <c r="H381" s="155">
        <v>99741.7</v>
      </c>
      <c r="I381" s="22"/>
      <c r="J381" s="155">
        <v>1109.77</v>
      </c>
      <c r="K381" s="22">
        <f t="shared" si="5"/>
        <v>-67.680000000000064</v>
      </c>
    </row>
    <row r="382" spans="1:11" ht="15.95" customHeight="1" x14ac:dyDescent="0.2">
      <c r="A382" s="139" t="s">
        <v>641</v>
      </c>
      <c r="B382" s="480" t="s">
        <v>642</v>
      </c>
      <c r="C382" s="476"/>
      <c r="D382" s="476"/>
      <c r="E382" s="155">
        <v>-127968.92</v>
      </c>
      <c r="F382" s="155">
        <v>1037798.43</v>
      </c>
      <c r="G382" s="22"/>
      <c r="H382" s="155">
        <v>1012355.95</v>
      </c>
      <c r="I382" s="22"/>
      <c r="J382" s="155">
        <v>-102526.44</v>
      </c>
      <c r="K382" s="22">
        <f t="shared" si="5"/>
        <v>25442.479999999996</v>
      </c>
    </row>
    <row r="383" spans="1:11" ht="15.95" customHeight="1" x14ac:dyDescent="0.2">
      <c r="A383" s="139" t="s">
        <v>643</v>
      </c>
      <c r="B383" s="480" t="s">
        <v>644</v>
      </c>
      <c r="C383" s="476"/>
      <c r="D383" s="476"/>
      <c r="E383" s="155">
        <v>-16941.09</v>
      </c>
      <c r="F383" s="155">
        <v>276926.14</v>
      </c>
      <c r="G383" s="22"/>
      <c r="H383" s="155">
        <v>286260.81</v>
      </c>
      <c r="I383" s="22"/>
      <c r="J383" s="155">
        <v>-26275.759999999998</v>
      </c>
      <c r="K383" s="22">
        <f t="shared" si="5"/>
        <v>-9334.6699999999983</v>
      </c>
    </row>
    <row r="384" spans="1:11" ht="15.95" customHeight="1" x14ac:dyDescent="0.2">
      <c r="A384" s="139" t="s">
        <v>645</v>
      </c>
      <c r="B384" s="480" t="s">
        <v>646</v>
      </c>
      <c r="C384" s="476"/>
      <c r="D384" s="476"/>
      <c r="E384" s="155">
        <v>-164602.38</v>
      </c>
      <c r="F384" s="155">
        <v>1141227.47</v>
      </c>
      <c r="G384" s="22"/>
      <c r="H384" s="155">
        <v>1173417.58</v>
      </c>
      <c r="I384" s="22"/>
      <c r="J384" s="155">
        <v>-196792.49</v>
      </c>
      <c r="K384" s="22">
        <f t="shared" si="5"/>
        <v>-32190.109999999986</v>
      </c>
    </row>
    <row r="385" spans="1:11" ht="15.95" customHeight="1" x14ac:dyDescent="0.2">
      <c r="A385" s="139" t="s">
        <v>647</v>
      </c>
      <c r="B385" s="480" t="s">
        <v>648</v>
      </c>
      <c r="C385" s="476"/>
      <c r="D385" s="476"/>
      <c r="E385" s="155">
        <v>-30568.12</v>
      </c>
      <c r="F385" s="155">
        <v>589504.48</v>
      </c>
      <c r="G385" s="22"/>
      <c r="H385" s="155">
        <v>617088.82999999996</v>
      </c>
      <c r="I385" s="22"/>
      <c r="J385" s="155">
        <v>-58152.47</v>
      </c>
      <c r="K385" s="22">
        <f t="shared" si="5"/>
        <v>-27584.350000000002</v>
      </c>
    </row>
    <row r="386" spans="1:11" ht="15.95" customHeight="1" x14ac:dyDescent="0.2">
      <c r="A386" s="139" t="s">
        <v>649</v>
      </c>
      <c r="B386" s="480" t="s">
        <v>650</v>
      </c>
      <c r="C386" s="476"/>
      <c r="D386" s="476"/>
      <c r="E386" s="155">
        <v>-83470.55</v>
      </c>
      <c r="F386" s="155">
        <v>83470.55</v>
      </c>
      <c r="G386" s="22"/>
      <c r="H386" s="155">
        <v>0</v>
      </c>
      <c r="I386" s="22"/>
      <c r="J386" s="155">
        <v>0</v>
      </c>
      <c r="K386" s="22">
        <f t="shared" si="5"/>
        <v>83470.55</v>
      </c>
    </row>
    <row r="387" spans="1:11" ht="15.95" customHeight="1" x14ac:dyDescent="0.2">
      <c r="A387" s="139" t="s">
        <v>651</v>
      </c>
      <c r="B387" s="480" t="s">
        <v>652</v>
      </c>
      <c r="C387" s="476"/>
      <c r="D387" s="476"/>
      <c r="E387" s="155">
        <v>-55924.74</v>
      </c>
      <c r="F387" s="155">
        <v>41943.51</v>
      </c>
      <c r="G387" s="22"/>
      <c r="H387" s="155">
        <v>55924.62</v>
      </c>
      <c r="I387" s="22"/>
      <c r="J387" s="155">
        <v>-69905.850000000006</v>
      </c>
      <c r="K387" s="22">
        <f t="shared" si="5"/>
        <v>-13981.110000000008</v>
      </c>
    </row>
    <row r="388" spans="1:11" ht="15.95" customHeight="1" x14ac:dyDescent="0.2">
      <c r="A388" s="139" t="s">
        <v>653</v>
      </c>
      <c r="B388" s="480" t="s">
        <v>654</v>
      </c>
      <c r="C388" s="476"/>
      <c r="D388" s="476"/>
      <c r="E388" s="155">
        <v>0</v>
      </c>
      <c r="F388" s="155">
        <v>958504.14</v>
      </c>
      <c r="G388" s="22"/>
      <c r="H388" s="155">
        <v>2543868.2400000002</v>
      </c>
      <c r="I388" s="22"/>
      <c r="J388" s="155">
        <v>-1585364.1</v>
      </c>
      <c r="K388" s="22">
        <f t="shared" ref="K388:K451" si="6">J388-E388</f>
        <v>-1585364.1</v>
      </c>
    </row>
    <row r="389" spans="1:11" ht="15.95" customHeight="1" x14ac:dyDescent="0.2">
      <c r="A389" s="141">
        <v>215</v>
      </c>
      <c r="B389" s="481" t="s">
        <v>655</v>
      </c>
      <c r="C389" s="482"/>
      <c r="D389" s="482"/>
      <c r="E389" s="156">
        <v>-411431.06</v>
      </c>
      <c r="F389" s="156">
        <v>2522559.5699999998</v>
      </c>
      <c r="G389" s="25"/>
      <c r="H389" s="156">
        <v>2337114.61</v>
      </c>
      <c r="I389" s="25"/>
      <c r="J389" s="156">
        <v>-225986.1</v>
      </c>
      <c r="K389" s="25">
        <f t="shared" si="6"/>
        <v>185444.96</v>
      </c>
    </row>
    <row r="390" spans="1:11" ht="15.95" customHeight="1" x14ac:dyDescent="0.2">
      <c r="A390" s="139">
        <v>21501</v>
      </c>
      <c r="B390" s="480" t="s">
        <v>655</v>
      </c>
      <c r="C390" s="476"/>
      <c r="D390" s="476"/>
      <c r="E390" s="155">
        <v>-411431.06</v>
      </c>
      <c r="F390" s="155">
        <v>2522559.5699999998</v>
      </c>
      <c r="G390" s="22"/>
      <c r="H390" s="155">
        <v>2337114.61</v>
      </c>
      <c r="I390" s="22"/>
      <c r="J390" s="155">
        <v>-225986.1</v>
      </c>
      <c r="K390" s="22">
        <f t="shared" si="6"/>
        <v>185444.96</v>
      </c>
    </row>
    <row r="391" spans="1:11" ht="15.95" customHeight="1" x14ac:dyDescent="0.2">
      <c r="A391" s="139">
        <v>2150101</v>
      </c>
      <c r="B391" s="480" t="s">
        <v>656</v>
      </c>
      <c r="C391" s="476"/>
      <c r="D391" s="476"/>
      <c r="E391" s="155">
        <v>-365525.38</v>
      </c>
      <c r="F391" s="155">
        <v>2114118.84</v>
      </c>
      <c r="G391" s="22"/>
      <c r="H391" s="155">
        <v>1940808.45</v>
      </c>
      <c r="I391" s="22"/>
      <c r="J391" s="155">
        <v>-192214.99</v>
      </c>
      <c r="K391" s="22">
        <f t="shared" si="6"/>
        <v>173310.39</v>
      </c>
    </row>
    <row r="392" spans="1:11" ht="15.95" customHeight="1" x14ac:dyDescent="0.2">
      <c r="A392" s="139" t="s">
        <v>657</v>
      </c>
      <c r="B392" s="480" t="s">
        <v>658</v>
      </c>
      <c r="C392" s="476"/>
      <c r="D392" s="476"/>
      <c r="E392" s="155">
        <v>-120</v>
      </c>
      <c r="F392" s="155">
        <v>1080</v>
      </c>
      <c r="G392" s="22"/>
      <c r="H392" s="155">
        <v>1080</v>
      </c>
      <c r="I392" s="22"/>
      <c r="J392" s="155">
        <v>-120</v>
      </c>
      <c r="K392" s="22">
        <f t="shared" si="6"/>
        <v>0</v>
      </c>
    </row>
    <row r="393" spans="1:11" ht="15.95" customHeight="1" x14ac:dyDescent="0.2">
      <c r="A393" s="139" t="s">
        <v>659</v>
      </c>
      <c r="B393" s="480" t="s">
        <v>660</v>
      </c>
      <c r="C393" s="476"/>
      <c r="D393" s="476"/>
      <c r="E393" s="155">
        <v>-322505.40000000002</v>
      </c>
      <c r="F393" s="155">
        <v>1707405.34</v>
      </c>
      <c r="G393" s="22"/>
      <c r="H393" s="155">
        <v>1536909.55</v>
      </c>
      <c r="I393" s="22"/>
      <c r="J393" s="155">
        <v>-152009.60999999999</v>
      </c>
      <c r="K393" s="22">
        <f t="shared" si="6"/>
        <v>170495.79000000004</v>
      </c>
    </row>
    <row r="394" spans="1:11" ht="15.95" customHeight="1" x14ac:dyDescent="0.2">
      <c r="A394" s="139" t="s">
        <v>661</v>
      </c>
      <c r="B394" s="480" t="s">
        <v>662</v>
      </c>
      <c r="C394" s="476"/>
      <c r="D394" s="476"/>
      <c r="E394" s="155">
        <v>-1565.87</v>
      </c>
      <c r="F394" s="155">
        <v>12619.12</v>
      </c>
      <c r="G394" s="22"/>
      <c r="H394" s="155">
        <v>14023.53</v>
      </c>
      <c r="I394" s="22"/>
      <c r="J394" s="155">
        <v>-2970.28</v>
      </c>
      <c r="K394" s="22">
        <f t="shared" si="6"/>
        <v>-1404.4100000000003</v>
      </c>
    </row>
    <row r="395" spans="1:11" ht="15.95" customHeight="1" x14ac:dyDescent="0.2">
      <c r="A395" s="139" t="s">
        <v>663</v>
      </c>
      <c r="B395" s="480" t="s">
        <v>664</v>
      </c>
      <c r="C395" s="476"/>
      <c r="D395" s="476"/>
      <c r="E395" s="155">
        <v>-557.61</v>
      </c>
      <c r="F395" s="155">
        <v>4914.08</v>
      </c>
      <c r="G395" s="22"/>
      <c r="H395" s="155">
        <v>4864.42</v>
      </c>
      <c r="I395" s="22"/>
      <c r="J395" s="155">
        <v>-507.95</v>
      </c>
      <c r="K395" s="22">
        <f t="shared" si="6"/>
        <v>49.660000000000025</v>
      </c>
    </row>
    <row r="396" spans="1:11" ht="15.95" customHeight="1" x14ac:dyDescent="0.2">
      <c r="A396" s="139" t="s">
        <v>665</v>
      </c>
      <c r="B396" s="480" t="s">
        <v>666</v>
      </c>
      <c r="C396" s="476"/>
      <c r="D396" s="476"/>
      <c r="E396" s="155">
        <v>-460.54</v>
      </c>
      <c r="F396" s="155">
        <v>4073.55</v>
      </c>
      <c r="G396" s="22"/>
      <c r="H396" s="155">
        <v>4022.13</v>
      </c>
      <c r="I396" s="22"/>
      <c r="J396" s="155">
        <v>-409.12</v>
      </c>
      <c r="K396" s="22">
        <f t="shared" si="6"/>
        <v>51.420000000000016</v>
      </c>
    </row>
    <row r="397" spans="1:11" ht="15.95" customHeight="1" x14ac:dyDescent="0.2">
      <c r="A397" s="139" t="s">
        <v>667</v>
      </c>
      <c r="B397" s="480" t="s">
        <v>668</v>
      </c>
      <c r="C397" s="476"/>
      <c r="D397" s="476"/>
      <c r="E397" s="155">
        <v>-2109.36</v>
      </c>
      <c r="F397" s="155">
        <v>31905.919999999998</v>
      </c>
      <c r="G397" s="22"/>
      <c r="H397" s="155">
        <v>31593.72</v>
      </c>
      <c r="I397" s="22"/>
      <c r="J397" s="155">
        <v>-1797.16</v>
      </c>
      <c r="K397" s="22">
        <f t="shared" si="6"/>
        <v>312.20000000000005</v>
      </c>
    </row>
    <row r="398" spans="1:11" ht="15.95" customHeight="1" x14ac:dyDescent="0.2">
      <c r="A398" s="139" t="s">
        <v>669</v>
      </c>
      <c r="B398" s="480" t="s">
        <v>670</v>
      </c>
      <c r="C398" s="476"/>
      <c r="D398" s="476"/>
      <c r="E398" s="155">
        <v>-30614.27</v>
      </c>
      <c r="F398" s="155">
        <v>288146.09999999998</v>
      </c>
      <c r="G398" s="22"/>
      <c r="H398" s="155">
        <v>286345.78999999998</v>
      </c>
      <c r="I398" s="22"/>
      <c r="J398" s="155">
        <v>-28813.96</v>
      </c>
      <c r="K398" s="22">
        <f t="shared" si="6"/>
        <v>1800.3100000000013</v>
      </c>
    </row>
    <row r="399" spans="1:11" ht="15.95" customHeight="1" x14ac:dyDescent="0.2">
      <c r="A399" s="139" t="s">
        <v>671</v>
      </c>
      <c r="B399" s="480" t="s">
        <v>672</v>
      </c>
      <c r="C399" s="476"/>
      <c r="D399" s="476"/>
      <c r="E399" s="155">
        <v>-6945.13</v>
      </c>
      <c r="F399" s="155">
        <v>55860.09</v>
      </c>
      <c r="G399" s="22"/>
      <c r="H399" s="155">
        <v>53026.54</v>
      </c>
      <c r="I399" s="22"/>
      <c r="J399" s="155">
        <v>-4111.58</v>
      </c>
      <c r="K399" s="22">
        <f t="shared" si="6"/>
        <v>2833.55</v>
      </c>
    </row>
    <row r="400" spans="1:11" ht="15.95" customHeight="1" x14ac:dyDescent="0.2">
      <c r="A400" s="139" t="s">
        <v>673</v>
      </c>
      <c r="B400" s="480" t="s">
        <v>674</v>
      </c>
      <c r="C400" s="476"/>
      <c r="D400" s="476"/>
      <c r="E400" s="155">
        <v>-600</v>
      </c>
      <c r="F400" s="155">
        <v>0</v>
      </c>
      <c r="G400" s="22"/>
      <c r="H400" s="155">
        <v>0</v>
      </c>
      <c r="I400" s="22"/>
      <c r="J400" s="155">
        <v>-600</v>
      </c>
      <c r="K400" s="22">
        <f t="shared" si="6"/>
        <v>0</v>
      </c>
    </row>
    <row r="401" spans="1:11" ht="15.95" customHeight="1" x14ac:dyDescent="0.2">
      <c r="A401" s="139" t="s">
        <v>675</v>
      </c>
      <c r="B401" s="480" t="s">
        <v>676</v>
      </c>
      <c r="C401" s="476"/>
      <c r="D401" s="476"/>
      <c r="E401" s="155">
        <v>-47.2</v>
      </c>
      <c r="F401" s="155">
        <v>424.8</v>
      </c>
      <c r="G401" s="22"/>
      <c r="H401" s="155">
        <v>424.8</v>
      </c>
      <c r="I401" s="22"/>
      <c r="J401" s="155">
        <v>-47.2</v>
      </c>
      <c r="K401" s="22">
        <f t="shared" si="6"/>
        <v>0</v>
      </c>
    </row>
    <row r="402" spans="1:11" ht="15.95" customHeight="1" x14ac:dyDescent="0.2">
      <c r="A402" s="139" t="s">
        <v>677</v>
      </c>
      <c r="B402" s="480" t="s">
        <v>678</v>
      </c>
      <c r="C402" s="476"/>
      <c r="D402" s="476"/>
      <c r="E402" s="155">
        <v>0</v>
      </c>
      <c r="F402" s="155">
        <v>7689.84</v>
      </c>
      <c r="G402" s="22"/>
      <c r="H402" s="155">
        <v>8517.9699999999993</v>
      </c>
      <c r="I402" s="22"/>
      <c r="J402" s="155">
        <v>-828.13</v>
      </c>
      <c r="K402" s="22">
        <f t="shared" si="6"/>
        <v>-828.13</v>
      </c>
    </row>
    <row r="403" spans="1:11" ht="15.95" customHeight="1" x14ac:dyDescent="0.2">
      <c r="A403" s="139">
        <v>2150102</v>
      </c>
      <c r="B403" s="480" t="s">
        <v>679</v>
      </c>
      <c r="C403" s="476"/>
      <c r="D403" s="476"/>
      <c r="E403" s="155">
        <v>-45905.68</v>
      </c>
      <c r="F403" s="155">
        <v>408440.73</v>
      </c>
      <c r="G403" s="22"/>
      <c r="H403" s="155">
        <v>396306.16</v>
      </c>
      <c r="I403" s="22"/>
      <c r="J403" s="155">
        <v>-33771.11</v>
      </c>
      <c r="K403" s="22">
        <f t="shared" si="6"/>
        <v>12134.57</v>
      </c>
    </row>
    <row r="404" spans="1:11" ht="15.95" customHeight="1" x14ac:dyDescent="0.2">
      <c r="A404" s="139" t="s">
        <v>680</v>
      </c>
      <c r="B404" s="480" t="s">
        <v>681</v>
      </c>
      <c r="C404" s="476"/>
      <c r="D404" s="476"/>
      <c r="E404" s="155">
        <v>-34227.58</v>
      </c>
      <c r="F404" s="155">
        <v>300473.56</v>
      </c>
      <c r="G404" s="22"/>
      <c r="H404" s="155">
        <v>291006.95</v>
      </c>
      <c r="I404" s="22"/>
      <c r="J404" s="155">
        <v>-24760.97</v>
      </c>
      <c r="K404" s="22">
        <f t="shared" si="6"/>
        <v>9466.61</v>
      </c>
    </row>
    <row r="405" spans="1:11" ht="15.95" customHeight="1" x14ac:dyDescent="0.2">
      <c r="A405" s="139" t="s">
        <v>682</v>
      </c>
      <c r="B405" s="480" t="s">
        <v>683</v>
      </c>
      <c r="C405" s="476"/>
      <c r="D405" s="476"/>
      <c r="E405" s="155">
        <v>-8514</v>
      </c>
      <c r="F405" s="155">
        <v>79490.27</v>
      </c>
      <c r="G405" s="22"/>
      <c r="H405" s="155">
        <v>77544.27</v>
      </c>
      <c r="I405" s="22"/>
      <c r="J405" s="155">
        <v>-6568</v>
      </c>
      <c r="K405" s="22">
        <f t="shared" si="6"/>
        <v>1946</v>
      </c>
    </row>
    <row r="406" spans="1:11" ht="15.95" customHeight="1" x14ac:dyDescent="0.2">
      <c r="A406" s="139" t="s">
        <v>684</v>
      </c>
      <c r="B406" s="480" t="s">
        <v>685</v>
      </c>
      <c r="C406" s="476"/>
      <c r="D406" s="476"/>
      <c r="E406" s="155">
        <v>-3164.1</v>
      </c>
      <c r="F406" s="155">
        <v>28476.9</v>
      </c>
      <c r="G406" s="22"/>
      <c r="H406" s="155">
        <v>27754.94</v>
      </c>
      <c r="I406" s="22"/>
      <c r="J406" s="155">
        <v>-2442.14</v>
      </c>
      <c r="K406" s="22">
        <f t="shared" si="6"/>
        <v>721.96</v>
      </c>
    </row>
    <row r="407" spans="1:11" ht="15.95" customHeight="1" x14ac:dyDescent="0.2">
      <c r="A407" s="141">
        <v>217</v>
      </c>
      <c r="B407" s="481" t="s">
        <v>686</v>
      </c>
      <c r="C407" s="482"/>
      <c r="D407" s="482"/>
      <c r="E407" s="156">
        <v>-4939099.24</v>
      </c>
      <c r="F407" s="156">
        <v>1705594.75</v>
      </c>
      <c r="G407" s="25"/>
      <c r="H407" s="156">
        <v>1747985.24</v>
      </c>
      <c r="I407" s="25"/>
      <c r="J407" s="156">
        <v>-4981489.7300000004</v>
      </c>
      <c r="K407" s="25">
        <f t="shared" si="6"/>
        <v>-42390.490000000224</v>
      </c>
    </row>
    <row r="408" spans="1:11" ht="15.95" customHeight="1" x14ac:dyDescent="0.2">
      <c r="A408" s="139">
        <v>21701</v>
      </c>
      <c r="B408" s="480" t="s">
        <v>686</v>
      </c>
      <c r="C408" s="476"/>
      <c r="D408" s="476"/>
      <c r="E408" s="155">
        <v>-4939099.24</v>
      </c>
      <c r="F408" s="155">
        <v>1705594.75</v>
      </c>
      <c r="G408" s="22"/>
      <c r="H408" s="155">
        <v>1747985.24</v>
      </c>
      <c r="I408" s="22"/>
      <c r="J408" s="155">
        <v>-4981489.7300000004</v>
      </c>
      <c r="K408" s="22">
        <f t="shared" si="6"/>
        <v>-42390.490000000224</v>
      </c>
    </row>
    <row r="409" spans="1:11" ht="15.95" customHeight="1" x14ac:dyDescent="0.2">
      <c r="A409" s="139">
        <v>2170101</v>
      </c>
      <c r="B409" s="480" t="s">
        <v>687</v>
      </c>
      <c r="C409" s="476"/>
      <c r="D409" s="476"/>
      <c r="E409" s="155">
        <v>-23810.44</v>
      </c>
      <c r="F409" s="155">
        <v>0</v>
      </c>
      <c r="G409" s="22"/>
      <c r="H409" s="155">
        <v>173890.3</v>
      </c>
      <c r="I409" s="22"/>
      <c r="J409" s="155">
        <v>-197700.74</v>
      </c>
      <c r="K409" s="22">
        <f t="shared" si="6"/>
        <v>-173890.3</v>
      </c>
    </row>
    <row r="410" spans="1:11" ht="15.95" customHeight="1" x14ac:dyDescent="0.2">
      <c r="A410" s="139" t="s">
        <v>688</v>
      </c>
      <c r="B410" s="480" t="s">
        <v>689</v>
      </c>
      <c r="C410" s="476"/>
      <c r="D410" s="476"/>
      <c r="E410" s="155">
        <v>-6700</v>
      </c>
      <c r="F410" s="155">
        <v>0</v>
      </c>
      <c r="G410" s="22"/>
      <c r="H410" s="155">
        <v>0</v>
      </c>
      <c r="I410" s="22"/>
      <c r="J410" s="155">
        <v>-6700</v>
      </c>
      <c r="K410" s="22">
        <f t="shared" si="6"/>
        <v>0</v>
      </c>
    </row>
    <row r="411" spans="1:11" ht="15.95" customHeight="1" x14ac:dyDescent="0.2">
      <c r="A411" s="139" t="s">
        <v>690</v>
      </c>
      <c r="B411" s="480" t="s">
        <v>691</v>
      </c>
      <c r="C411" s="476"/>
      <c r="D411" s="476"/>
      <c r="E411" s="155">
        <v>-3115</v>
      </c>
      <c r="F411" s="155">
        <v>0</v>
      </c>
      <c r="G411" s="22"/>
      <c r="H411" s="155">
        <v>0</v>
      </c>
      <c r="I411" s="22"/>
      <c r="J411" s="155">
        <v>-3115</v>
      </c>
      <c r="K411" s="22">
        <f t="shared" si="6"/>
        <v>0</v>
      </c>
    </row>
    <row r="412" spans="1:11" ht="15.95" customHeight="1" x14ac:dyDescent="0.2">
      <c r="A412" s="139" t="s">
        <v>692</v>
      </c>
      <c r="B412" s="480" t="s">
        <v>693</v>
      </c>
      <c r="C412" s="476"/>
      <c r="D412" s="476"/>
      <c r="E412" s="155">
        <v>-2856</v>
      </c>
      <c r="F412" s="155">
        <v>0</v>
      </c>
      <c r="G412" s="22"/>
      <c r="H412" s="155">
        <v>0</v>
      </c>
      <c r="I412" s="22"/>
      <c r="J412" s="155">
        <v>-2856</v>
      </c>
      <c r="K412" s="22">
        <f t="shared" si="6"/>
        <v>0</v>
      </c>
    </row>
    <row r="413" spans="1:11" ht="15.95" customHeight="1" x14ac:dyDescent="0.2">
      <c r="A413" s="139" t="s">
        <v>694</v>
      </c>
      <c r="B413" s="480" t="s">
        <v>695</v>
      </c>
      <c r="C413" s="476"/>
      <c r="D413" s="476"/>
      <c r="E413" s="155">
        <v>-2000</v>
      </c>
      <c r="F413" s="155">
        <v>0</v>
      </c>
      <c r="G413" s="22"/>
      <c r="H413" s="155">
        <v>0</v>
      </c>
      <c r="I413" s="22"/>
      <c r="J413" s="155">
        <v>-2000</v>
      </c>
      <c r="K413" s="22">
        <f t="shared" si="6"/>
        <v>0</v>
      </c>
    </row>
    <row r="414" spans="1:11" ht="15.95" customHeight="1" x14ac:dyDescent="0.2">
      <c r="A414" s="139" t="s">
        <v>696</v>
      </c>
      <c r="B414" s="480" t="s">
        <v>697</v>
      </c>
      <c r="C414" s="476"/>
      <c r="D414" s="476"/>
      <c r="E414" s="155">
        <v>-5899.2</v>
      </c>
      <c r="F414" s="155">
        <v>0</v>
      </c>
      <c r="G414" s="22"/>
      <c r="H414" s="155">
        <v>0</v>
      </c>
      <c r="I414" s="22"/>
      <c r="J414" s="155">
        <v>-5899.2</v>
      </c>
      <c r="K414" s="22">
        <f t="shared" si="6"/>
        <v>0</v>
      </c>
    </row>
    <row r="415" spans="1:11" ht="15.95" customHeight="1" x14ac:dyDescent="0.2">
      <c r="A415" s="139" t="s">
        <v>698</v>
      </c>
      <c r="B415" s="480" t="s">
        <v>699</v>
      </c>
      <c r="C415" s="476"/>
      <c r="D415" s="476"/>
      <c r="E415" s="155">
        <v>-840.24</v>
      </c>
      <c r="F415" s="155">
        <v>0</v>
      </c>
      <c r="G415" s="22"/>
      <c r="H415" s="155">
        <v>0</v>
      </c>
      <c r="I415" s="22"/>
      <c r="J415" s="155">
        <v>-840.24</v>
      </c>
      <c r="K415" s="22">
        <f t="shared" si="6"/>
        <v>0</v>
      </c>
    </row>
    <row r="416" spans="1:11" ht="15.95" customHeight="1" x14ac:dyDescent="0.2">
      <c r="A416" s="139" t="s">
        <v>700</v>
      </c>
      <c r="B416" s="480" t="s">
        <v>701</v>
      </c>
      <c r="C416" s="476"/>
      <c r="D416" s="476"/>
      <c r="E416" s="155">
        <v>-2400</v>
      </c>
      <c r="F416" s="155">
        <v>0</v>
      </c>
      <c r="G416" s="22"/>
      <c r="H416" s="155">
        <v>0</v>
      </c>
      <c r="I416" s="22"/>
      <c r="J416" s="155">
        <v>-2400</v>
      </c>
      <c r="K416" s="22">
        <f t="shared" si="6"/>
        <v>0</v>
      </c>
    </row>
    <row r="417" spans="1:11" ht="15.95" customHeight="1" x14ac:dyDescent="0.2">
      <c r="A417" s="139" t="s">
        <v>702</v>
      </c>
      <c r="B417" s="480" t="s">
        <v>703</v>
      </c>
      <c r="C417" s="476"/>
      <c r="D417" s="476"/>
      <c r="E417" s="155">
        <v>0</v>
      </c>
      <c r="F417" s="155">
        <v>0</v>
      </c>
      <c r="G417" s="22"/>
      <c r="H417" s="155">
        <v>174.5</v>
      </c>
      <c r="I417" s="22"/>
      <c r="J417" s="155">
        <v>-174.5</v>
      </c>
      <c r="K417" s="22">
        <f t="shared" si="6"/>
        <v>-174.5</v>
      </c>
    </row>
    <row r="418" spans="1:11" ht="15.95" customHeight="1" x14ac:dyDescent="0.2">
      <c r="A418" s="139" t="s">
        <v>704</v>
      </c>
      <c r="B418" s="480" t="s">
        <v>705</v>
      </c>
      <c r="C418" s="476"/>
      <c r="D418" s="476"/>
      <c r="E418" s="155">
        <v>0</v>
      </c>
      <c r="F418" s="155">
        <v>0</v>
      </c>
      <c r="G418" s="22"/>
      <c r="H418" s="155">
        <v>2215</v>
      </c>
      <c r="I418" s="22"/>
      <c r="J418" s="155">
        <v>-2215</v>
      </c>
      <c r="K418" s="22">
        <f t="shared" si="6"/>
        <v>-2215</v>
      </c>
    </row>
    <row r="419" spans="1:11" ht="15.95" customHeight="1" x14ac:dyDescent="0.2">
      <c r="A419" s="139" t="s">
        <v>706</v>
      </c>
      <c r="B419" s="480" t="s">
        <v>707</v>
      </c>
      <c r="C419" s="476"/>
      <c r="D419" s="476"/>
      <c r="E419" s="155">
        <v>0</v>
      </c>
      <c r="F419" s="155">
        <v>0</v>
      </c>
      <c r="G419" s="22"/>
      <c r="H419" s="155">
        <v>1330.8</v>
      </c>
      <c r="I419" s="22"/>
      <c r="J419" s="155">
        <v>-1330.8</v>
      </c>
      <c r="K419" s="22">
        <f t="shared" si="6"/>
        <v>-1330.8</v>
      </c>
    </row>
    <row r="420" spans="1:11" ht="15.95" customHeight="1" x14ac:dyDescent="0.2">
      <c r="A420" s="139" t="s">
        <v>708</v>
      </c>
      <c r="B420" s="480" t="s">
        <v>709</v>
      </c>
      <c r="C420" s="476"/>
      <c r="D420" s="476"/>
      <c r="E420" s="155">
        <v>0</v>
      </c>
      <c r="F420" s="155">
        <v>0</v>
      </c>
      <c r="G420" s="22"/>
      <c r="H420" s="155">
        <v>170170</v>
      </c>
      <c r="I420" s="22"/>
      <c r="J420" s="155">
        <v>-170170</v>
      </c>
      <c r="K420" s="22">
        <f t="shared" si="6"/>
        <v>-170170</v>
      </c>
    </row>
    <row r="421" spans="1:11" ht="15.95" customHeight="1" x14ac:dyDescent="0.2">
      <c r="A421" s="139">
        <v>2170102</v>
      </c>
      <c r="B421" s="480" t="s">
        <v>710</v>
      </c>
      <c r="C421" s="476"/>
      <c r="D421" s="476"/>
      <c r="E421" s="155">
        <v>-2128338.6800000002</v>
      </c>
      <c r="F421" s="155">
        <v>1705594.75</v>
      </c>
      <c r="G421" s="22"/>
      <c r="H421" s="155">
        <v>1284842.48</v>
      </c>
      <c r="I421" s="22"/>
      <c r="J421" s="155">
        <v>-1707586.41</v>
      </c>
      <c r="K421" s="22">
        <f t="shared" si="6"/>
        <v>420752.27000000025</v>
      </c>
    </row>
    <row r="422" spans="1:11" ht="15.95" customHeight="1" x14ac:dyDescent="0.2">
      <c r="A422" s="139" t="s">
        <v>711</v>
      </c>
      <c r="B422" s="480" t="s">
        <v>712</v>
      </c>
      <c r="C422" s="476"/>
      <c r="D422" s="476"/>
      <c r="E422" s="155">
        <v>-482690.42</v>
      </c>
      <c r="F422" s="155">
        <v>0</v>
      </c>
      <c r="G422" s="22"/>
      <c r="H422" s="155">
        <v>0</v>
      </c>
      <c r="I422" s="22"/>
      <c r="J422" s="155">
        <v>-482690.42</v>
      </c>
      <c r="K422" s="22">
        <f t="shared" si="6"/>
        <v>0</v>
      </c>
    </row>
    <row r="423" spans="1:11" ht="15.95" customHeight="1" x14ac:dyDescent="0.2">
      <c r="A423" s="139" t="s">
        <v>713</v>
      </c>
      <c r="B423" s="480" t="s">
        <v>714</v>
      </c>
      <c r="C423" s="476"/>
      <c r="D423" s="476"/>
      <c r="E423" s="155">
        <v>-34.72</v>
      </c>
      <c r="F423" s="155">
        <v>0</v>
      </c>
      <c r="G423" s="22"/>
      <c r="H423" s="155">
        <v>0</v>
      </c>
      <c r="I423" s="22"/>
      <c r="J423" s="155">
        <v>-34.72</v>
      </c>
      <c r="K423" s="22">
        <f t="shared" si="6"/>
        <v>0</v>
      </c>
    </row>
    <row r="424" spans="1:11" ht="15.95" customHeight="1" x14ac:dyDescent="0.2">
      <c r="A424" s="139" t="s">
        <v>715</v>
      </c>
      <c r="B424" s="480" t="s">
        <v>716</v>
      </c>
      <c r="C424" s="476"/>
      <c r="D424" s="476"/>
      <c r="E424" s="155">
        <v>-11718.89</v>
      </c>
      <c r="F424" s="155">
        <v>10970.98</v>
      </c>
      <c r="G424" s="22"/>
      <c r="H424" s="155">
        <v>1.94</v>
      </c>
      <c r="I424" s="22"/>
      <c r="J424" s="155">
        <v>-749.85</v>
      </c>
      <c r="K424" s="22">
        <f t="shared" si="6"/>
        <v>10969.039999999999</v>
      </c>
    </row>
    <row r="425" spans="1:11" ht="15.95" customHeight="1" x14ac:dyDescent="0.2">
      <c r="A425" s="139" t="s">
        <v>717</v>
      </c>
      <c r="B425" s="480" t="s">
        <v>718</v>
      </c>
      <c r="C425" s="476"/>
      <c r="D425" s="476"/>
      <c r="E425" s="155">
        <v>-229.87</v>
      </c>
      <c r="F425" s="155">
        <v>0</v>
      </c>
      <c r="G425" s="22"/>
      <c r="H425" s="155">
        <v>0</v>
      </c>
      <c r="I425" s="22"/>
      <c r="J425" s="155">
        <v>-229.87</v>
      </c>
      <c r="K425" s="22">
        <f t="shared" si="6"/>
        <v>0</v>
      </c>
    </row>
    <row r="426" spans="1:11" ht="15.95" customHeight="1" x14ac:dyDescent="0.2">
      <c r="A426" s="139" t="s">
        <v>719</v>
      </c>
      <c r="B426" s="480" t="s">
        <v>720</v>
      </c>
      <c r="C426" s="476"/>
      <c r="D426" s="476"/>
      <c r="E426" s="155">
        <v>-3084.5</v>
      </c>
      <c r="F426" s="155">
        <v>0</v>
      </c>
      <c r="G426" s="22"/>
      <c r="H426" s="155">
        <v>0</v>
      </c>
      <c r="I426" s="22"/>
      <c r="J426" s="155">
        <v>-3084.5</v>
      </c>
      <c r="K426" s="22">
        <f t="shared" si="6"/>
        <v>0</v>
      </c>
    </row>
    <row r="427" spans="1:11" ht="15.95" customHeight="1" x14ac:dyDescent="0.2">
      <c r="A427" s="139" t="s">
        <v>721</v>
      </c>
      <c r="B427" s="480" t="s">
        <v>722</v>
      </c>
      <c r="C427" s="476"/>
      <c r="D427" s="476"/>
      <c r="E427" s="155">
        <v>-105.52</v>
      </c>
      <c r="F427" s="155">
        <v>0</v>
      </c>
      <c r="G427" s="22"/>
      <c r="H427" s="155">
        <v>0</v>
      </c>
      <c r="I427" s="22"/>
      <c r="J427" s="155">
        <v>-105.52</v>
      </c>
      <c r="K427" s="22">
        <f t="shared" si="6"/>
        <v>0</v>
      </c>
    </row>
    <row r="428" spans="1:11" ht="15.95" customHeight="1" x14ac:dyDescent="0.2">
      <c r="A428" s="139" t="s">
        <v>723</v>
      </c>
      <c r="B428" s="480" t="s">
        <v>724</v>
      </c>
      <c r="C428" s="476"/>
      <c r="D428" s="476"/>
      <c r="E428" s="155">
        <v>0</v>
      </c>
      <c r="F428" s="155">
        <v>297067.96999999997</v>
      </c>
      <c r="G428" s="22"/>
      <c r="H428" s="155">
        <v>297226.71999999997</v>
      </c>
      <c r="I428" s="22"/>
      <c r="J428" s="155">
        <v>-158.75</v>
      </c>
      <c r="K428" s="22">
        <f t="shared" si="6"/>
        <v>-158.75</v>
      </c>
    </row>
    <row r="429" spans="1:11" ht="15.95" customHeight="1" x14ac:dyDescent="0.2">
      <c r="A429" s="139" t="s">
        <v>725</v>
      </c>
      <c r="B429" s="480" t="s">
        <v>726</v>
      </c>
      <c r="C429" s="476"/>
      <c r="D429" s="476"/>
      <c r="E429" s="155">
        <v>-196.05</v>
      </c>
      <c r="F429" s="155">
        <v>0</v>
      </c>
      <c r="G429" s="22"/>
      <c r="H429" s="155">
        <v>0</v>
      </c>
      <c r="I429" s="22"/>
      <c r="J429" s="155">
        <v>-196.05</v>
      </c>
      <c r="K429" s="22">
        <f t="shared" si="6"/>
        <v>0</v>
      </c>
    </row>
    <row r="430" spans="1:11" ht="15.95" customHeight="1" x14ac:dyDescent="0.2">
      <c r="A430" s="139" t="s">
        <v>727</v>
      </c>
      <c r="B430" s="480" t="s">
        <v>728</v>
      </c>
      <c r="C430" s="476"/>
      <c r="D430" s="476"/>
      <c r="E430" s="155">
        <v>-304.98</v>
      </c>
      <c r="F430" s="155">
        <v>0</v>
      </c>
      <c r="G430" s="22"/>
      <c r="H430" s="155">
        <v>0</v>
      </c>
      <c r="I430" s="22"/>
      <c r="J430" s="155">
        <v>-304.98</v>
      </c>
      <c r="K430" s="22">
        <f t="shared" si="6"/>
        <v>0</v>
      </c>
    </row>
    <row r="431" spans="1:11" ht="15.95" customHeight="1" x14ac:dyDescent="0.2">
      <c r="A431" s="139" t="s">
        <v>729</v>
      </c>
      <c r="B431" s="480" t="s">
        <v>730</v>
      </c>
      <c r="C431" s="476"/>
      <c r="D431" s="476"/>
      <c r="E431" s="155">
        <v>-6</v>
      </c>
      <c r="F431" s="155">
        <v>0</v>
      </c>
      <c r="G431" s="22"/>
      <c r="H431" s="155">
        <v>0</v>
      </c>
      <c r="I431" s="22"/>
      <c r="J431" s="155">
        <v>-6</v>
      </c>
      <c r="K431" s="22">
        <f t="shared" si="6"/>
        <v>0</v>
      </c>
    </row>
    <row r="432" spans="1:11" ht="15.95" customHeight="1" x14ac:dyDescent="0.2">
      <c r="A432" s="139" t="s">
        <v>731</v>
      </c>
      <c r="B432" s="480" t="s">
        <v>732</v>
      </c>
      <c r="C432" s="476"/>
      <c r="D432" s="476"/>
      <c r="E432" s="155">
        <v>-912.44</v>
      </c>
      <c r="F432" s="155">
        <v>0</v>
      </c>
      <c r="G432" s="22"/>
      <c r="H432" s="155">
        <v>0</v>
      </c>
      <c r="I432" s="22"/>
      <c r="J432" s="155">
        <v>-912.44</v>
      </c>
      <c r="K432" s="22">
        <f t="shared" si="6"/>
        <v>0</v>
      </c>
    </row>
    <row r="433" spans="1:11" ht="15.95" customHeight="1" x14ac:dyDescent="0.2">
      <c r="A433" s="139" t="s">
        <v>733</v>
      </c>
      <c r="B433" s="480" t="s">
        <v>734</v>
      </c>
      <c r="C433" s="476"/>
      <c r="D433" s="476"/>
      <c r="E433" s="155">
        <v>-692.25</v>
      </c>
      <c r="F433" s="155">
        <v>0</v>
      </c>
      <c r="G433" s="22"/>
      <c r="H433" s="155">
        <v>1823</v>
      </c>
      <c r="I433" s="22"/>
      <c r="J433" s="155">
        <v>-2515.25</v>
      </c>
      <c r="K433" s="22">
        <f t="shared" si="6"/>
        <v>-1823</v>
      </c>
    </row>
    <row r="434" spans="1:11" ht="27.95" customHeight="1" x14ac:dyDescent="0.2">
      <c r="A434" s="139" t="s">
        <v>735</v>
      </c>
      <c r="B434" s="480" t="s">
        <v>736</v>
      </c>
      <c r="C434" s="476"/>
      <c r="D434" s="476"/>
      <c r="E434" s="155">
        <v>-76.84</v>
      </c>
      <c r="F434" s="155">
        <v>0</v>
      </c>
      <c r="G434" s="22"/>
      <c r="H434" s="155">
        <v>0</v>
      </c>
      <c r="I434" s="22"/>
      <c r="J434" s="155">
        <v>-76.84</v>
      </c>
      <c r="K434" s="22">
        <f t="shared" si="6"/>
        <v>0</v>
      </c>
    </row>
    <row r="435" spans="1:11" ht="15.95" customHeight="1" x14ac:dyDescent="0.2">
      <c r="A435" s="139" t="s">
        <v>737</v>
      </c>
      <c r="B435" s="480" t="s">
        <v>738</v>
      </c>
      <c r="C435" s="476"/>
      <c r="D435" s="476"/>
      <c r="E435" s="155">
        <v>-144.33000000000001</v>
      </c>
      <c r="F435" s="155">
        <v>0</v>
      </c>
      <c r="G435" s="22"/>
      <c r="H435" s="155">
        <v>0</v>
      </c>
      <c r="I435" s="22"/>
      <c r="J435" s="155">
        <v>-144.33000000000001</v>
      </c>
      <c r="K435" s="22">
        <f t="shared" si="6"/>
        <v>0</v>
      </c>
    </row>
    <row r="436" spans="1:11" ht="15.95" customHeight="1" x14ac:dyDescent="0.2">
      <c r="A436" s="139" t="s">
        <v>739</v>
      </c>
      <c r="B436" s="480" t="s">
        <v>740</v>
      </c>
      <c r="C436" s="476"/>
      <c r="D436" s="476"/>
      <c r="E436" s="155">
        <v>-175.2</v>
      </c>
      <c r="F436" s="155">
        <v>0</v>
      </c>
      <c r="G436" s="22"/>
      <c r="H436" s="155">
        <v>0</v>
      </c>
      <c r="I436" s="22"/>
      <c r="J436" s="155">
        <v>-175.2</v>
      </c>
      <c r="K436" s="22">
        <f t="shared" si="6"/>
        <v>0</v>
      </c>
    </row>
    <row r="437" spans="1:11" ht="15.95" customHeight="1" x14ac:dyDescent="0.2">
      <c r="A437" s="139" t="s">
        <v>741</v>
      </c>
      <c r="B437" s="480" t="s">
        <v>742</v>
      </c>
      <c r="C437" s="476"/>
      <c r="D437" s="476"/>
      <c r="E437" s="155">
        <v>-436.29</v>
      </c>
      <c r="F437" s="155">
        <v>0</v>
      </c>
      <c r="G437" s="22"/>
      <c r="H437" s="155">
        <v>0</v>
      </c>
      <c r="I437" s="22"/>
      <c r="J437" s="155">
        <v>-436.29</v>
      </c>
      <c r="K437" s="22">
        <f t="shared" si="6"/>
        <v>0</v>
      </c>
    </row>
    <row r="438" spans="1:11" ht="15.95" customHeight="1" x14ac:dyDescent="0.2">
      <c r="A438" s="139" t="s">
        <v>743</v>
      </c>
      <c r="B438" s="480" t="s">
        <v>744</v>
      </c>
      <c r="C438" s="476"/>
      <c r="D438" s="476"/>
      <c r="E438" s="155">
        <v>-67.010000000000005</v>
      </c>
      <c r="F438" s="155">
        <v>0</v>
      </c>
      <c r="G438" s="22"/>
      <c r="H438" s="155">
        <v>0</v>
      </c>
      <c r="I438" s="22"/>
      <c r="J438" s="155">
        <v>-67.010000000000005</v>
      </c>
      <c r="K438" s="22">
        <f t="shared" si="6"/>
        <v>0</v>
      </c>
    </row>
    <row r="439" spans="1:11" ht="15.95" customHeight="1" x14ac:dyDescent="0.2">
      <c r="A439" s="139" t="s">
        <v>745</v>
      </c>
      <c r="B439" s="480" t="s">
        <v>746</v>
      </c>
      <c r="C439" s="476"/>
      <c r="D439" s="476"/>
      <c r="E439" s="155">
        <v>-4644.84</v>
      </c>
      <c r="F439" s="155">
        <v>0</v>
      </c>
      <c r="G439" s="22"/>
      <c r="H439" s="155">
        <v>0</v>
      </c>
      <c r="I439" s="22"/>
      <c r="J439" s="155">
        <v>-4644.84</v>
      </c>
      <c r="K439" s="22">
        <f t="shared" si="6"/>
        <v>0</v>
      </c>
    </row>
    <row r="440" spans="1:11" ht="15.95" customHeight="1" x14ac:dyDescent="0.2">
      <c r="A440" s="139" t="s">
        <v>747</v>
      </c>
      <c r="B440" s="480" t="s">
        <v>748</v>
      </c>
      <c r="C440" s="476"/>
      <c r="D440" s="476"/>
      <c r="E440" s="155">
        <v>-423.16</v>
      </c>
      <c r="F440" s="155">
        <v>0</v>
      </c>
      <c r="G440" s="22"/>
      <c r="H440" s="155">
        <v>0</v>
      </c>
      <c r="I440" s="22"/>
      <c r="J440" s="155">
        <v>-423.16</v>
      </c>
      <c r="K440" s="22">
        <f t="shared" si="6"/>
        <v>0</v>
      </c>
    </row>
    <row r="441" spans="1:11" ht="15.95" customHeight="1" x14ac:dyDescent="0.2">
      <c r="A441" s="139" t="s">
        <v>749</v>
      </c>
      <c r="B441" s="480" t="s">
        <v>750</v>
      </c>
      <c r="C441" s="476"/>
      <c r="D441" s="476"/>
      <c r="E441" s="155">
        <v>-904.46</v>
      </c>
      <c r="F441" s="155">
        <v>0</v>
      </c>
      <c r="G441" s="22"/>
      <c r="H441" s="155">
        <v>0</v>
      </c>
      <c r="I441" s="22"/>
      <c r="J441" s="155">
        <v>-904.46</v>
      </c>
      <c r="K441" s="22">
        <f t="shared" si="6"/>
        <v>0</v>
      </c>
    </row>
    <row r="442" spans="1:11" ht="15.95" customHeight="1" x14ac:dyDescent="0.2">
      <c r="A442" s="139" t="s">
        <v>751</v>
      </c>
      <c r="B442" s="480" t="s">
        <v>752</v>
      </c>
      <c r="C442" s="476"/>
      <c r="D442" s="476"/>
      <c r="E442" s="155">
        <v>-76.56</v>
      </c>
      <c r="F442" s="155">
        <v>0</v>
      </c>
      <c r="G442" s="22"/>
      <c r="H442" s="155">
        <v>0</v>
      </c>
      <c r="I442" s="22"/>
      <c r="J442" s="155">
        <v>-76.56</v>
      </c>
      <c r="K442" s="22">
        <f t="shared" si="6"/>
        <v>0</v>
      </c>
    </row>
    <row r="443" spans="1:11" ht="15.95" customHeight="1" x14ac:dyDescent="0.2">
      <c r="A443" s="139" t="s">
        <v>753</v>
      </c>
      <c r="B443" s="480" t="s">
        <v>754</v>
      </c>
      <c r="C443" s="476"/>
      <c r="D443" s="476"/>
      <c r="E443" s="155">
        <v>-2843.92</v>
      </c>
      <c r="F443" s="155">
        <v>1024.03</v>
      </c>
      <c r="G443" s="22"/>
      <c r="H443" s="155">
        <v>1024.03</v>
      </c>
      <c r="I443" s="22"/>
      <c r="J443" s="155">
        <v>-2843.92</v>
      </c>
      <c r="K443" s="22">
        <f t="shared" si="6"/>
        <v>0</v>
      </c>
    </row>
    <row r="444" spans="1:11" ht="15.95" customHeight="1" x14ac:dyDescent="0.2">
      <c r="A444" s="139" t="s">
        <v>755</v>
      </c>
      <c r="B444" s="480" t="s">
        <v>756</v>
      </c>
      <c r="C444" s="476"/>
      <c r="D444" s="476"/>
      <c r="E444" s="155">
        <v>-274.92</v>
      </c>
      <c r="F444" s="155">
        <v>0</v>
      </c>
      <c r="G444" s="22"/>
      <c r="H444" s="155">
        <v>0</v>
      </c>
      <c r="I444" s="22"/>
      <c r="J444" s="155">
        <v>-274.92</v>
      </c>
      <c r="K444" s="22">
        <f t="shared" si="6"/>
        <v>0</v>
      </c>
    </row>
    <row r="445" spans="1:11" ht="15.95" customHeight="1" x14ac:dyDescent="0.2">
      <c r="A445" s="139" t="s">
        <v>757</v>
      </c>
      <c r="B445" s="480" t="s">
        <v>758</v>
      </c>
      <c r="C445" s="476"/>
      <c r="D445" s="476"/>
      <c r="E445" s="155">
        <v>-247</v>
      </c>
      <c r="F445" s="155">
        <v>0</v>
      </c>
      <c r="G445" s="22"/>
      <c r="H445" s="155">
        <v>0</v>
      </c>
      <c r="I445" s="22"/>
      <c r="J445" s="155">
        <v>-247</v>
      </c>
      <c r="K445" s="22">
        <f t="shared" si="6"/>
        <v>0</v>
      </c>
    </row>
    <row r="446" spans="1:11" ht="15.95" customHeight="1" x14ac:dyDescent="0.2">
      <c r="A446" s="139" t="s">
        <v>759</v>
      </c>
      <c r="B446" s="480" t="s">
        <v>760</v>
      </c>
      <c r="C446" s="476"/>
      <c r="D446" s="476"/>
      <c r="E446" s="155">
        <v>-22698.47</v>
      </c>
      <c r="F446" s="155">
        <v>0</v>
      </c>
      <c r="G446" s="22"/>
      <c r="H446" s="155">
        <v>0</v>
      </c>
      <c r="I446" s="22"/>
      <c r="J446" s="155">
        <v>-22698.47</v>
      </c>
      <c r="K446" s="22">
        <f t="shared" si="6"/>
        <v>0</v>
      </c>
    </row>
    <row r="447" spans="1:11" ht="15.95" customHeight="1" x14ac:dyDescent="0.2">
      <c r="A447" s="139" t="s">
        <v>761</v>
      </c>
      <c r="B447" s="480" t="s">
        <v>762</v>
      </c>
      <c r="C447" s="476"/>
      <c r="D447" s="476"/>
      <c r="E447" s="155">
        <v>-338.57</v>
      </c>
      <c r="F447" s="155">
        <v>0</v>
      </c>
      <c r="G447" s="22"/>
      <c r="H447" s="155">
        <v>0</v>
      </c>
      <c r="I447" s="22"/>
      <c r="J447" s="155">
        <v>-338.57</v>
      </c>
      <c r="K447" s="22">
        <f t="shared" si="6"/>
        <v>0</v>
      </c>
    </row>
    <row r="448" spans="1:11" ht="15.95" customHeight="1" x14ac:dyDescent="0.2">
      <c r="A448" s="139" t="s">
        <v>763</v>
      </c>
      <c r="B448" s="480" t="s">
        <v>764</v>
      </c>
      <c r="C448" s="476"/>
      <c r="D448" s="476"/>
      <c r="E448" s="155">
        <v>-111.7</v>
      </c>
      <c r="F448" s="155">
        <v>0</v>
      </c>
      <c r="G448" s="22"/>
      <c r="H448" s="155">
        <v>0</v>
      </c>
      <c r="I448" s="22"/>
      <c r="J448" s="155">
        <v>-111.7</v>
      </c>
      <c r="K448" s="22">
        <f t="shared" si="6"/>
        <v>0</v>
      </c>
    </row>
    <row r="449" spans="1:11" ht="15.95" customHeight="1" x14ac:dyDescent="0.2">
      <c r="A449" s="139" t="s">
        <v>765</v>
      </c>
      <c r="B449" s="480" t="s">
        <v>766</v>
      </c>
      <c r="C449" s="476"/>
      <c r="D449" s="476"/>
      <c r="E449" s="155">
        <v>-3215.85</v>
      </c>
      <c r="F449" s="155">
        <v>0</v>
      </c>
      <c r="G449" s="22"/>
      <c r="H449" s="155">
        <v>0</v>
      </c>
      <c r="I449" s="22"/>
      <c r="J449" s="155">
        <v>-3215.85</v>
      </c>
      <c r="K449" s="22">
        <f t="shared" si="6"/>
        <v>0</v>
      </c>
    </row>
    <row r="450" spans="1:11" ht="15.95" customHeight="1" x14ac:dyDescent="0.2">
      <c r="A450" s="139" t="s">
        <v>767</v>
      </c>
      <c r="B450" s="480" t="s">
        <v>768</v>
      </c>
      <c r="C450" s="476"/>
      <c r="D450" s="476"/>
      <c r="E450" s="155">
        <v>-861.9</v>
      </c>
      <c r="F450" s="155">
        <v>0</v>
      </c>
      <c r="G450" s="22"/>
      <c r="H450" s="155">
        <v>0</v>
      </c>
      <c r="I450" s="22"/>
      <c r="J450" s="155">
        <v>-861.9</v>
      </c>
      <c r="K450" s="22">
        <f t="shared" si="6"/>
        <v>0</v>
      </c>
    </row>
    <row r="451" spans="1:11" ht="15.95" customHeight="1" x14ac:dyDescent="0.2">
      <c r="A451" s="139" t="s">
        <v>769</v>
      </c>
      <c r="B451" s="480" t="s">
        <v>770</v>
      </c>
      <c r="C451" s="476"/>
      <c r="D451" s="476"/>
      <c r="E451" s="155">
        <v>-2028.49</v>
      </c>
      <c r="F451" s="155">
        <v>0</v>
      </c>
      <c r="G451" s="22"/>
      <c r="H451" s="155">
        <v>0</v>
      </c>
      <c r="I451" s="22"/>
      <c r="J451" s="155">
        <v>-2028.49</v>
      </c>
      <c r="K451" s="22">
        <f t="shared" si="6"/>
        <v>0</v>
      </c>
    </row>
    <row r="452" spans="1:11" ht="15.95" customHeight="1" x14ac:dyDescent="0.2">
      <c r="A452" s="139" t="s">
        <v>771</v>
      </c>
      <c r="B452" s="480" t="s">
        <v>772</v>
      </c>
      <c r="C452" s="476"/>
      <c r="D452" s="476"/>
      <c r="E452" s="155">
        <v>-1261.4000000000001</v>
      </c>
      <c r="F452" s="155">
        <v>0</v>
      </c>
      <c r="G452" s="22"/>
      <c r="H452" s="155">
        <v>0</v>
      </c>
      <c r="I452" s="22"/>
      <c r="J452" s="155">
        <v>-1261.4000000000001</v>
      </c>
      <c r="K452" s="22">
        <f t="shared" ref="K452:K515" si="7">J452-E452</f>
        <v>0</v>
      </c>
    </row>
    <row r="453" spans="1:11" ht="15.95" customHeight="1" x14ac:dyDescent="0.2">
      <c r="A453" s="139" t="s">
        <v>773</v>
      </c>
      <c r="B453" s="480" t="s">
        <v>774</v>
      </c>
      <c r="C453" s="476"/>
      <c r="D453" s="476"/>
      <c r="E453" s="155">
        <v>-5180.93</v>
      </c>
      <c r="F453" s="155">
        <v>0</v>
      </c>
      <c r="G453" s="22"/>
      <c r="H453" s="155">
        <v>0</v>
      </c>
      <c r="I453" s="22"/>
      <c r="J453" s="155">
        <v>-5180.93</v>
      </c>
      <c r="K453" s="22">
        <f t="shared" si="7"/>
        <v>0</v>
      </c>
    </row>
    <row r="454" spans="1:11" ht="15.95" customHeight="1" x14ac:dyDescent="0.2">
      <c r="A454" s="139" t="s">
        <v>775</v>
      </c>
      <c r="B454" s="480" t="s">
        <v>776</v>
      </c>
      <c r="C454" s="476"/>
      <c r="D454" s="476"/>
      <c r="E454" s="155">
        <v>-206.2</v>
      </c>
      <c r="F454" s="155">
        <v>0</v>
      </c>
      <c r="G454" s="22"/>
      <c r="H454" s="155">
        <v>0</v>
      </c>
      <c r="I454" s="22"/>
      <c r="J454" s="155">
        <v>-206.2</v>
      </c>
      <c r="K454" s="22">
        <f t="shared" si="7"/>
        <v>0</v>
      </c>
    </row>
    <row r="455" spans="1:11" ht="15.95" customHeight="1" x14ac:dyDescent="0.2">
      <c r="A455" s="139" t="s">
        <v>777</v>
      </c>
      <c r="B455" s="480" t="s">
        <v>778</v>
      </c>
      <c r="C455" s="476"/>
      <c r="D455" s="476"/>
      <c r="E455" s="155">
        <v>-608.96</v>
      </c>
      <c r="F455" s="155">
        <v>0</v>
      </c>
      <c r="G455" s="22"/>
      <c r="H455" s="155">
        <v>0</v>
      </c>
      <c r="I455" s="22"/>
      <c r="J455" s="155">
        <v>-608.96</v>
      </c>
      <c r="K455" s="22">
        <f t="shared" si="7"/>
        <v>0</v>
      </c>
    </row>
    <row r="456" spans="1:11" ht="15.95" customHeight="1" x14ac:dyDescent="0.2">
      <c r="A456" s="139" t="s">
        <v>779</v>
      </c>
      <c r="B456" s="480" t="s">
        <v>780</v>
      </c>
      <c r="C456" s="476"/>
      <c r="D456" s="476"/>
      <c r="E456" s="155">
        <v>-156.04</v>
      </c>
      <c r="F456" s="155">
        <v>0</v>
      </c>
      <c r="G456" s="22"/>
      <c r="H456" s="155">
        <v>0</v>
      </c>
      <c r="I456" s="22"/>
      <c r="J456" s="155">
        <v>-156.04</v>
      </c>
      <c r="K456" s="22">
        <f t="shared" si="7"/>
        <v>0</v>
      </c>
    </row>
    <row r="457" spans="1:11" ht="15.95" customHeight="1" x14ac:dyDescent="0.2">
      <c r="A457" s="139" t="s">
        <v>781</v>
      </c>
      <c r="B457" s="480" t="s">
        <v>782</v>
      </c>
      <c r="C457" s="476"/>
      <c r="D457" s="476"/>
      <c r="E457" s="155">
        <v>-109.84</v>
      </c>
      <c r="F457" s="155">
        <v>0</v>
      </c>
      <c r="G457" s="22"/>
      <c r="H457" s="155">
        <v>0</v>
      </c>
      <c r="I457" s="22"/>
      <c r="J457" s="155">
        <v>-109.84</v>
      </c>
      <c r="K457" s="22">
        <f t="shared" si="7"/>
        <v>0</v>
      </c>
    </row>
    <row r="458" spans="1:11" ht="15.95" customHeight="1" x14ac:dyDescent="0.2">
      <c r="A458" s="139" t="s">
        <v>783</v>
      </c>
      <c r="B458" s="480" t="s">
        <v>784</v>
      </c>
      <c r="C458" s="476"/>
      <c r="D458" s="476"/>
      <c r="E458" s="155">
        <v>-683.35</v>
      </c>
      <c r="F458" s="155">
        <v>0</v>
      </c>
      <c r="G458" s="22"/>
      <c r="H458" s="155">
        <v>0</v>
      </c>
      <c r="I458" s="22"/>
      <c r="J458" s="155">
        <v>-683.35</v>
      </c>
      <c r="K458" s="22">
        <f t="shared" si="7"/>
        <v>0</v>
      </c>
    </row>
    <row r="459" spans="1:11" ht="15.95" customHeight="1" x14ac:dyDescent="0.2">
      <c r="A459" s="139" t="s">
        <v>785</v>
      </c>
      <c r="B459" s="480" t="s">
        <v>786</v>
      </c>
      <c r="C459" s="476"/>
      <c r="D459" s="476"/>
      <c r="E459" s="155">
        <v>-27</v>
      </c>
      <c r="F459" s="155">
        <v>90</v>
      </c>
      <c r="G459" s="22"/>
      <c r="H459" s="155">
        <v>90</v>
      </c>
      <c r="I459" s="22"/>
      <c r="J459" s="155">
        <v>-27</v>
      </c>
      <c r="K459" s="22">
        <f t="shared" si="7"/>
        <v>0</v>
      </c>
    </row>
    <row r="460" spans="1:11" ht="15.95" customHeight="1" x14ac:dyDescent="0.2">
      <c r="A460" s="139" t="s">
        <v>787</v>
      </c>
      <c r="B460" s="480" t="s">
        <v>788</v>
      </c>
      <c r="C460" s="476"/>
      <c r="D460" s="476"/>
      <c r="E460" s="155">
        <v>-45.32</v>
      </c>
      <c r="F460" s="155">
        <v>0</v>
      </c>
      <c r="G460" s="22"/>
      <c r="H460" s="155">
        <v>0</v>
      </c>
      <c r="I460" s="22"/>
      <c r="J460" s="155">
        <v>-45.32</v>
      </c>
      <c r="K460" s="22">
        <f t="shared" si="7"/>
        <v>0</v>
      </c>
    </row>
    <row r="461" spans="1:11" ht="15.95" customHeight="1" x14ac:dyDescent="0.2">
      <c r="A461" s="139" t="s">
        <v>789</v>
      </c>
      <c r="B461" s="480" t="s">
        <v>790</v>
      </c>
      <c r="C461" s="476"/>
      <c r="D461" s="476"/>
      <c r="E461" s="155">
        <v>-120.7</v>
      </c>
      <c r="F461" s="155">
        <v>0</v>
      </c>
      <c r="G461" s="22"/>
      <c r="H461" s="155">
        <v>0</v>
      </c>
      <c r="I461" s="22"/>
      <c r="J461" s="155">
        <v>-120.7</v>
      </c>
      <c r="K461" s="22">
        <f t="shared" si="7"/>
        <v>0</v>
      </c>
    </row>
    <row r="462" spans="1:11" ht="15.95" customHeight="1" x14ac:dyDescent="0.2">
      <c r="A462" s="139" t="s">
        <v>791</v>
      </c>
      <c r="B462" s="480" t="s">
        <v>792</v>
      </c>
      <c r="C462" s="476"/>
      <c r="D462" s="476"/>
      <c r="E462" s="155">
        <v>-674.65</v>
      </c>
      <c r="F462" s="155">
        <v>0</v>
      </c>
      <c r="G462" s="22"/>
      <c r="H462" s="155">
        <v>0</v>
      </c>
      <c r="I462" s="22"/>
      <c r="J462" s="155">
        <v>-674.65</v>
      </c>
      <c r="K462" s="22">
        <f t="shared" si="7"/>
        <v>0</v>
      </c>
    </row>
    <row r="463" spans="1:11" ht="15.95" customHeight="1" x14ac:dyDescent="0.2">
      <c r="A463" s="139" t="s">
        <v>793</v>
      </c>
      <c r="B463" s="480" t="s">
        <v>794</v>
      </c>
      <c r="C463" s="476"/>
      <c r="D463" s="476"/>
      <c r="E463" s="155">
        <v>-761.21</v>
      </c>
      <c r="F463" s="155">
        <v>0</v>
      </c>
      <c r="G463" s="22"/>
      <c r="H463" s="155">
        <v>0</v>
      </c>
      <c r="I463" s="22"/>
      <c r="J463" s="155">
        <v>-761.21</v>
      </c>
      <c r="K463" s="22">
        <f t="shared" si="7"/>
        <v>0</v>
      </c>
    </row>
    <row r="464" spans="1:11" ht="15.95" customHeight="1" x14ac:dyDescent="0.2">
      <c r="A464" s="139" t="s">
        <v>795</v>
      </c>
      <c r="B464" s="480" t="s">
        <v>796</v>
      </c>
      <c r="C464" s="476"/>
      <c r="D464" s="476"/>
      <c r="E464" s="155">
        <v>-44.62</v>
      </c>
      <c r="F464" s="155">
        <v>0</v>
      </c>
      <c r="G464" s="22"/>
      <c r="H464" s="155">
        <v>0</v>
      </c>
      <c r="I464" s="22"/>
      <c r="J464" s="155">
        <v>-44.62</v>
      </c>
      <c r="K464" s="22">
        <f t="shared" si="7"/>
        <v>0</v>
      </c>
    </row>
    <row r="465" spans="1:11" ht="15.95" customHeight="1" x14ac:dyDescent="0.2">
      <c r="A465" s="139" t="s">
        <v>797</v>
      </c>
      <c r="B465" s="480" t="s">
        <v>798</v>
      </c>
      <c r="C465" s="476"/>
      <c r="D465" s="476"/>
      <c r="E465" s="155">
        <v>-210.27</v>
      </c>
      <c r="F465" s="155">
        <v>0</v>
      </c>
      <c r="G465" s="22"/>
      <c r="H465" s="155">
        <v>0</v>
      </c>
      <c r="I465" s="22"/>
      <c r="J465" s="155">
        <v>-210.27</v>
      </c>
      <c r="K465" s="22">
        <f t="shared" si="7"/>
        <v>0</v>
      </c>
    </row>
    <row r="466" spans="1:11" ht="15.95" customHeight="1" x14ac:dyDescent="0.2">
      <c r="A466" s="139" t="s">
        <v>799</v>
      </c>
      <c r="B466" s="480" t="s">
        <v>800</v>
      </c>
      <c r="C466" s="476"/>
      <c r="D466" s="476"/>
      <c r="E466" s="155">
        <v>-2590.5</v>
      </c>
      <c r="F466" s="155">
        <v>0</v>
      </c>
      <c r="G466" s="22"/>
      <c r="H466" s="155">
        <v>0</v>
      </c>
      <c r="I466" s="22"/>
      <c r="J466" s="155">
        <v>-2590.5</v>
      </c>
      <c r="K466" s="22">
        <f t="shared" si="7"/>
        <v>0</v>
      </c>
    </row>
    <row r="467" spans="1:11" ht="15.95" customHeight="1" x14ac:dyDescent="0.2">
      <c r="A467" s="139" t="s">
        <v>801</v>
      </c>
      <c r="B467" s="480" t="s">
        <v>802</v>
      </c>
      <c r="C467" s="476"/>
      <c r="D467" s="476"/>
      <c r="E467" s="155">
        <v>-57.77</v>
      </c>
      <c r="F467" s="155">
        <v>0</v>
      </c>
      <c r="G467" s="22"/>
      <c r="H467" s="155">
        <v>0</v>
      </c>
      <c r="I467" s="22"/>
      <c r="J467" s="155">
        <v>-57.77</v>
      </c>
      <c r="K467" s="22">
        <f t="shared" si="7"/>
        <v>0</v>
      </c>
    </row>
    <row r="468" spans="1:11" ht="15.95" customHeight="1" x14ac:dyDescent="0.2">
      <c r="A468" s="139" t="s">
        <v>803</v>
      </c>
      <c r="B468" s="480" t="s">
        <v>804</v>
      </c>
      <c r="C468" s="476"/>
      <c r="D468" s="476"/>
      <c r="E468" s="155">
        <v>-384.27</v>
      </c>
      <c r="F468" s="155">
        <v>0</v>
      </c>
      <c r="G468" s="22"/>
      <c r="H468" s="155">
        <v>0</v>
      </c>
      <c r="I468" s="22"/>
      <c r="J468" s="155">
        <v>-384.27</v>
      </c>
      <c r="K468" s="22">
        <f t="shared" si="7"/>
        <v>0</v>
      </c>
    </row>
    <row r="469" spans="1:11" ht="15.95" customHeight="1" x14ac:dyDescent="0.2">
      <c r="A469" s="139" t="s">
        <v>805</v>
      </c>
      <c r="B469" s="480" t="s">
        <v>806</v>
      </c>
      <c r="C469" s="476"/>
      <c r="D469" s="476"/>
      <c r="E469" s="155">
        <v>-35.020000000000003</v>
      </c>
      <c r="F469" s="155">
        <v>0</v>
      </c>
      <c r="G469" s="22"/>
      <c r="H469" s="155">
        <v>0</v>
      </c>
      <c r="I469" s="22"/>
      <c r="J469" s="155">
        <v>-35.020000000000003</v>
      </c>
      <c r="K469" s="22">
        <f t="shared" si="7"/>
        <v>0</v>
      </c>
    </row>
    <row r="470" spans="1:11" ht="15.95" customHeight="1" x14ac:dyDescent="0.2">
      <c r="A470" s="139" t="s">
        <v>807</v>
      </c>
      <c r="B470" s="480" t="s">
        <v>808</v>
      </c>
      <c r="C470" s="476"/>
      <c r="D470" s="476"/>
      <c r="E470" s="155">
        <v>-2538.48</v>
      </c>
      <c r="F470" s="155">
        <v>2264.87</v>
      </c>
      <c r="G470" s="22"/>
      <c r="H470" s="155">
        <v>0</v>
      </c>
      <c r="I470" s="22"/>
      <c r="J470" s="155">
        <v>-273.61</v>
      </c>
      <c r="K470" s="22">
        <f t="shared" si="7"/>
        <v>2264.87</v>
      </c>
    </row>
    <row r="471" spans="1:11" ht="15.95" customHeight="1" x14ac:dyDescent="0.2">
      <c r="A471" s="139" t="s">
        <v>809</v>
      </c>
      <c r="B471" s="480" t="s">
        <v>810</v>
      </c>
      <c r="C471" s="476"/>
      <c r="D471" s="476"/>
      <c r="E471" s="155">
        <v>-64.599999999999994</v>
      </c>
      <c r="F471" s="155">
        <v>0</v>
      </c>
      <c r="G471" s="22"/>
      <c r="H471" s="155">
        <v>0</v>
      </c>
      <c r="I471" s="22"/>
      <c r="J471" s="155">
        <v>-64.599999999999994</v>
      </c>
      <c r="K471" s="22">
        <f t="shared" si="7"/>
        <v>0</v>
      </c>
    </row>
    <row r="472" spans="1:11" ht="15.95" customHeight="1" x14ac:dyDescent="0.2">
      <c r="A472" s="139" t="s">
        <v>811</v>
      </c>
      <c r="B472" s="480" t="s">
        <v>812</v>
      </c>
      <c r="C472" s="476"/>
      <c r="D472" s="476"/>
      <c r="E472" s="155">
        <v>-410.25</v>
      </c>
      <c r="F472" s="155">
        <v>0</v>
      </c>
      <c r="G472" s="22"/>
      <c r="H472" s="155">
        <v>0</v>
      </c>
      <c r="I472" s="22"/>
      <c r="J472" s="155">
        <v>-410.25</v>
      </c>
      <c r="K472" s="22">
        <f t="shared" si="7"/>
        <v>0</v>
      </c>
    </row>
    <row r="473" spans="1:11" ht="15.95" customHeight="1" x14ac:dyDescent="0.2">
      <c r="A473" s="139" t="s">
        <v>813</v>
      </c>
      <c r="B473" s="480" t="s">
        <v>814</v>
      </c>
      <c r="C473" s="476"/>
      <c r="D473" s="476"/>
      <c r="E473" s="155">
        <v>-49.5</v>
      </c>
      <c r="F473" s="155">
        <v>0</v>
      </c>
      <c r="G473" s="22"/>
      <c r="H473" s="155">
        <v>0</v>
      </c>
      <c r="I473" s="22"/>
      <c r="J473" s="155">
        <v>-49.5</v>
      </c>
      <c r="K473" s="22">
        <f t="shared" si="7"/>
        <v>0</v>
      </c>
    </row>
    <row r="474" spans="1:11" ht="15.95" customHeight="1" x14ac:dyDescent="0.2">
      <c r="A474" s="139" t="s">
        <v>815</v>
      </c>
      <c r="B474" s="480" t="s">
        <v>816</v>
      </c>
      <c r="C474" s="476"/>
      <c r="D474" s="476"/>
      <c r="E474" s="155">
        <v>-228.66</v>
      </c>
      <c r="F474" s="155">
        <v>0</v>
      </c>
      <c r="G474" s="22"/>
      <c r="H474" s="155">
        <v>0</v>
      </c>
      <c r="I474" s="22"/>
      <c r="J474" s="155">
        <v>-228.66</v>
      </c>
      <c r="K474" s="22">
        <f t="shared" si="7"/>
        <v>0</v>
      </c>
    </row>
    <row r="475" spans="1:11" ht="15.95" customHeight="1" x14ac:dyDescent="0.2">
      <c r="A475" s="139" t="s">
        <v>817</v>
      </c>
      <c r="B475" s="480" t="s">
        <v>818</v>
      </c>
      <c r="C475" s="476"/>
      <c r="D475" s="476"/>
      <c r="E475" s="155">
        <v>-145.24</v>
      </c>
      <c r="F475" s="155">
        <v>0</v>
      </c>
      <c r="G475" s="22"/>
      <c r="H475" s="155">
        <v>0</v>
      </c>
      <c r="I475" s="22"/>
      <c r="J475" s="155">
        <v>-145.24</v>
      </c>
      <c r="K475" s="22">
        <f t="shared" si="7"/>
        <v>0</v>
      </c>
    </row>
    <row r="476" spans="1:11" ht="15.95" customHeight="1" x14ac:dyDescent="0.2">
      <c r="A476" s="139" t="s">
        <v>819</v>
      </c>
      <c r="B476" s="480" t="s">
        <v>820</v>
      </c>
      <c r="C476" s="476"/>
      <c r="D476" s="476"/>
      <c r="E476" s="155">
        <v>-515.5</v>
      </c>
      <c r="F476" s="155">
        <v>0</v>
      </c>
      <c r="G476" s="22"/>
      <c r="H476" s="155">
        <v>0</v>
      </c>
      <c r="I476" s="22"/>
      <c r="J476" s="155">
        <v>-515.5</v>
      </c>
      <c r="K476" s="22">
        <f t="shared" si="7"/>
        <v>0</v>
      </c>
    </row>
    <row r="477" spans="1:11" ht="15.95" customHeight="1" x14ac:dyDescent="0.2">
      <c r="A477" s="139" t="s">
        <v>821</v>
      </c>
      <c r="B477" s="480" t="s">
        <v>822</v>
      </c>
      <c r="C477" s="476"/>
      <c r="D477" s="476"/>
      <c r="E477" s="155">
        <v>-22.51</v>
      </c>
      <c r="F477" s="155">
        <v>0</v>
      </c>
      <c r="G477" s="22"/>
      <c r="H477" s="155">
        <v>0</v>
      </c>
      <c r="I477" s="22"/>
      <c r="J477" s="155">
        <v>-22.51</v>
      </c>
      <c r="K477" s="22">
        <f t="shared" si="7"/>
        <v>0</v>
      </c>
    </row>
    <row r="478" spans="1:11" ht="15.95" customHeight="1" x14ac:dyDescent="0.2">
      <c r="A478" s="139" t="s">
        <v>823</v>
      </c>
      <c r="B478" s="480" t="s">
        <v>824</v>
      </c>
      <c r="C478" s="476"/>
      <c r="D478" s="476"/>
      <c r="E478" s="155">
        <v>-10</v>
      </c>
      <c r="F478" s="155">
        <v>0</v>
      </c>
      <c r="G478" s="22"/>
      <c r="H478" s="155">
        <v>0</v>
      </c>
      <c r="I478" s="22"/>
      <c r="J478" s="155">
        <v>-10</v>
      </c>
      <c r="K478" s="22">
        <f t="shared" si="7"/>
        <v>0</v>
      </c>
    </row>
    <row r="479" spans="1:11" ht="15.95" customHeight="1" x14ac:dyDescent="0.2">
      <c r="A479" s="139" t="s">
        <v>825</v>
      </c>
      <c r="B479" s="480" t="s">
        <v>826</v>
      </c>
      <c r="C479" s="476"/>
      <c r="D479" s="476"/>
      <c r="E479" s="155">
        <v>-98.32</v>
      </c>
      <c r="F479" s="155">
        <v>0</v>
      </c>
      <c r="G479" s="22"/>
      <c r="H479" s="155">
        <v>0</v>
      </c>
      <c r="I479" s="22"/>
      <c r="J479" s="155">
        <v>-98.32</v>
      </c>
      <c r="K479" s="22">
        <f t="shared" si="7"/>
        <v>0</v>
      </c>
    </row>
    <row r="480" spans="1:11" ht="15.95" customHeight="1" x14ac:dyDescent="0.2">
      <c r="A480" s="139" t="s">
        <v>827</v>
      </c>
      <c r="B480" s="480" t="s">
        <v>828</v>
      </c>
      <c r="C480" s="476"/>
      <c r="D480" s="476"/>
      <c r="E480" s="155">
        <v>-21.62</v>
      </c>
      <c r="F480" s="155">
        <v>0</v>
      </c>
      <c r="G480" s="22"/>
      <c r="H480" s="155">
        <v>0</v>
      </c>
      <c r="I480" s="22"/>
      <c r="J480" s="155">
        <v>-21.62</v>
      </c>
      <c r="K480" s="22">
        <f t="shared" si="7"/>
        <v>0</v>
      </c>
    </row>
    <row r="481" spans="1:11" ht="15.95" customHeight="1" x14ac:dyDescent="0.2">
      <c r="A481" s="139" t="s">
        <v>829</v>
      </c>
      <c r="B481" s="480" t="s">
        <v>830</v>
      </c>
      <c r="C481" s="476"/>
      <c r="D481" s="476"/>
      <c r="E481" s="155">
        <v>-1274.77</v>
      </c>
      <c r="F481" s="155">
        <v>0</v>
      </c>
      <c r="G481" s="22"/>
      <c r="H481" s="155">
        <v>0</v>
      </c>
      <c r="I481" s="22"/>
      <c r="J481" s="155">
        <v>-1274.77</v>
      </c>
      <c r="K481" s="22">
        <f t="shared" si="7"/>
        <v>0</v>
      </c>
    </row>
    <row r="482" spans="1:11" ht="15.95" customHeight="1" x14ac:dyDescent="0.2">
      <c r="A482" s="139" t="s">
        <v>831</v>
      </c>
      <c r="B482" s="480" t="s">
        <v>832</v>
      </c>
      <c r="C482" s="476"/>
      <c r="D482" s="476"/>
      <c r="E482" s="155">
        <v>-170009.81</v>
      </c>
      <c r="F482" s="155">
        <v>0</v>
      </c>
      <c r="G482" s="22"/>
      <c r="H482" s="155">
        <v>0</v>
      </c>
      <c r="I482" s="22"/>
      <c r="J482" s="155">
        <v>-170009.81</v>
      </c>
      <c r="K482" s="22">
        <f t="shared" si="7"/>
        <v>0</v>
      </c>
    </row>
    <row r="483" spans="1:11" ht="15.95" customHeight="1" x14ac:dyDescent="0.2">
      <c r="A483" s="139" t="s">
        <v>833</v>
      </c>
      <c r="B483" s="480" t="s">
        <v>834</v>
      </c>
      <c r="C483" s="476"/>
      <c r="D483" s="476"/>
      <c r="E483" s="155">
        <v>-268.06</v>
      </c>
      <c r="F483" s="155">
        <v>0</v>
      </c>
      <c r="G483" s="22"/>
      <c r="H483" s="155">
        <v>0</v>
      </c>
      <c r="I483" s="22"/>
      <c r="J483" s="155">
        <v>-268.06</v>
      </c>
      <c r="K483" s="22">
        <f t="shared" si="7"/>
        <v>0</v>
      </c>
    </row>
    <row r="484" spans="1:11" ht="15.95" customHeight="1" x14ac:dyDescent="0.2">
      <c r="A484" s="139" t="s">
        <v>835</v>
      </c>
      <c r="B484" s="480" t="s">
        <v>836</v>
      </c>
      <c r="C484" s="476"/>
      <c r="D484" s="476"/>
      <c r="E484" s="155">
        <v>-394.41</v>
      </c>
      <c r="F484" s="155">
        <v>0</v>
      </c>
      <c r="G484" s="22"/>
      <c r="H484" s="155">
        <v>0</v>
      </c>
      <c r="I484" s="22"/>
      <c r="J484" s="155">
        <v>-394.41</v>
      </c>
      <c r="K484" s="22">
        <f t="shared" si="7"/>
        <v>0</v>
      </c>
    </row>
    <row r="485" spans="1:11" ht="15.95" customHeight="1" x14ac:dyDescent="0.2">
      <c r="A485" s="139" t="s">
        <v>837</v>
      </c>
      <c r="B485" s="480" t="s">
        <v>838</v>
      </c>
      <c r="C485" s="476"/>
      <c r="D485" s="476"/>
      <c r="E485" s="155">
        <v>-140.36000000000001</v>
      </c>
      <c r="F485" s="155">
        <v>0</v>
      </c>
      <c r="G485" s="22"/>
      <c r="H485" s="155">
        <v>0</v>
      </c>
      <c r="I485" s="22"/>
      <c r="J485" s="155">
        <v>-140.36000000000001</v>
      </c>
      <c r="K485" s="22">
        <f t="shared" si="7"/>
        <v>0</v>
      </c>
    </row>
    <row r="486" spans="1:11" ht="15.95" customHeight="1" x14ac:dyDescent="0.2">
      <c r="A486" s="139" t="s">
        <v>839</v>
      </c>
      <c r="B486" s="480" t="s">
        <v>840</v>
      </c>
      <c r="C486" s="476"/>
      <c r="D486" s="476"/>
      <c r="E486" s="155">
        <v>-29.76</v>
      </c>
      <c r="F486" s="155">
        <v>0</v>
      </c>
      <c r="G486" s="22"/>
      <c r="H486" s="155">
        <v>0</v>
      </c>
      <c r="I486" s="22"/>
      <c r="J486" s="155">
        <v>-29.76</v>
      </c>
      <c r="K486" s="22">
        <f t="shared" si="7"/>
        <v>0</v>
      </c>
    </row>
    <row r="487" spans="1:11" ht="15.95" customHeight="1" x14ac:dyDescent="0.2">
      <c r="A487" s="139" t="s">
        <v>841</v>
      </c>
      <c r="B487" s="480" t="s">
        <v>842</v>
      </c>
      <c r="C487" s="476"/>
      <c r="D487" s="476"/>
      <c r="E487" s="155">
        <v>-151.47999999999999</v>
      </c>
      <c r="F487" s="155">
        <v>0</v>
      </c>
      <c r="G487" s="22"/>
      <c r="H487" s="155">
        <v>0</v>
      </c>
      <c r="I487" s="22"/>
      <c r="J487" s="155">
        <v>-151.47999999999999</v>
      </c>
      <c r="K487" s="22">
        <f t="shared" si="7"/>
        <v>0</v>
      </c>
    </row>
    <row r="488" spans="1:11" ht="27.95" customHeight="1" x14ac:dyDescent="0.2">
      <c r="A488" s="139" t="s">
        <v>843</v>
      </c>
      <c r="B488" s="480" t="s">
        <v>844</v>
      </c>
      <c r="C488" s="476"/>
      <c r="D488" s="476"/>
      <c r="E488" s="155">
        <v>-11402.28</v>
      </c>
      <c r="F488" s="155">
        <v>0</v>
      </c>
      <c r="G488" s="22"/>
      <c r="H488" s="155">
        <v>0</v>
      </c>
      <c r="I488" s="22"/>
      <c r="J488" s="155">
        <v>-11402.28</v>
      </c>
      <c r="K488" s="22">
        <f t="shared" si="7"/>
        <v>0</v>
      </c>
    </row>
    <row r="489" spans="1:11" ht="15.95" customHeight="1" x14ac:dyDescent="0.2">
      <c r="A489" s="139" t="s">
        <v>845</v>
      </c>
      <c r="B489" s="480" t="s">
        <v>846</v>
      </c>
      <c r="C489" s="476"/>
      <c r="D489" s="476"/>
      <c r="E489" s="155">
        <v>0</v>
      </c>
      <c r="F489" s="155">
        <v>0</v>
      </c>
      <c r="G489" s="22"/>
      <c r="H489" s="155">
        <v>67.02</v>
      </c>
      <c r="I489" s="22"/>
      <c r="J489" s="155">
        <v>-67.02</v>
      </c>
      <c r="K489" s="22">
        <f t="shared" si="7"/>
        <v>-67.02</v>
      </c>
    </row>
    <row r="490" spans="1:11" ht="15.95" customHeight="1" x14ac:dyDescent="0.2">
      <c r="A490" s="139" t="s">
        <v>847</v>
      </c>
      <c r="B490" s="480" t="s">
        <v>848</v>
      </c>
      <c r="C490" s="476"/>
      <c r="D490" s="476"/>
      <c r="E490" s="155">
        <v>-260.05</v>
      </c>
      <c r="F490" s="155">
        <v>0</v>
      </c>
      <c r="G490" s="22"/>
      <c r="H490" s="155">
        <v>0</v>
      </c>
      <c r="I490" s="22"/>
      <c r="J490" s="155">
        <v>-260.05</v>
      </c>
      <c r="K490" s="22">
        <f t="shared" si="7"/>
        <v>0</v>
      </c>
    </row>
    <row r="491" spans="1:11" ht="15.95" customHeight="1" x14ac:dyDescent="0.2">
      <c r="A491" s="139" t="s">
        <v>849</v>
      </c>
      <c r="B491" s="480" t="s">
        <v>850</v>
      </c>
      <c r="C491" s="476"/>
      <c r="D491" s="476"/>
      <c r="E491" s="155">
        <v>-20.38</v>
      </c>
      <c r="F491" s="155">
        <v>0</v>
      </c>
      <c r="G491" s="22"/>
      <c r="H491" s="155">
        <v>0</v>
      </c>
      <c r="I491" s="22"/>
      <c r="J491" s="155">
        <v>-20.38</v>
      </c>
      <c r="K491" s="22">
        <f t="shared" si="7"/>
        <v>0</v>
      </c>
    </row>
    <row r="492" spans="1:11" ht="15.95" customHeight="1" x14ac:dyDescent="0.2">
      <c r="A492" s="139" t="s">
        <v>851</v>
      </c>
      <c r="B492" s="480" t="s">
        <v>852</v>
      </c>
      <c r="C492" s="476"/>
      <c r="D492" s="476"/>
      <c r="E492" s="155">
        <v>-286.95999999999998</v>
      </c>
      <c r="F492" s="155">
        <v>0</v>
      </c>
      <c r="G492" s="22"/>
      <c r="H492" s="155">
        <v>0</v>
      </c>
      <c r="I492" s="22"/>
      <c r="J492" s="155">
        <v>-286.95999999999998</v>
      </c>
      <c r="K492" s="22">
        <f t="shared" si="7"/>
        <v>0</v>
      </c>
    </row>
    <row r="493" spans="1:11" ht="15.95" customHeight="1" x14ac:dyDescent="0.2">
      <c r="A493" s="139" t="s">
        <v>853</v>
      </c>
      <c r="B493" s="480" t="s">
        <v>854</v>
      </c>
      <c r="C493" s="476"/>
      <c r="D493" s="476"/>
      <c r="E493" s="155">
        <v>-633.79999999999995</v>
      </c>
      <c r="F493" s="155">
        <v>0</v>
      </c>
      <c r="G493" s="22"/>
      <c r="H493" s="155">
        <v>0</v>
      </c>
      <c r="I493" s="22"/>
      <c r="J493" s="155">
        <v>-633.79999999999995</v>
      </c>
      <c r="K493" s="22">
        <f t="shared" si="7"/>
        <v>0</v>
      </c>
    </row>
    <row r="494" spans="1:11" ht="15.95" customHeight="1" x14ac:dyDescent="0.2">
      <c r="A494" s="139" t="s">
        <v>855</v>
      </c>
      <c r="B494" s="480" t="s">
        <v>856</v>
      </c>
      <c r="C494" s="476"/>
      <c r="D494" s="476"/>
      <c r="E494" s="155">
        <v>-260.16000000000003</v>
      </c>
      <c r="F494" s="155">
        <v>0</v>
      </c>
      <c r="G494" s="22"/>
      <c r="H494" s="155">
        <v>0</v>
      </c>
      <c r="I494" s="22"/>
      <c r="J494" s="155">
        <v>-260.16000000000003</v>
      </c>
      <c r="K494" s="22">
        <f t="shared" si="7"/>
        <v>0</v>
      </c>
    </row>
    <row r="495" spans="1:11" ht="15.95" customHeight="1" x14ac:dyDescent="0.2">
      <c r="A495" s="139" t="s">
        <v>857</v>
      </c>
      <c r="B495" s="480" t="s">
        <v>858</v>
      </c>
      <c r="C495" s="476"/>
      <c r="D495" s="476"/>
      <c r="E495" s="155">
        <v>-2953.97</v>
      </c>
      <c r="F495" s="155">
        <v>0</v>
      </c>
      <c r="G495" s="22"/>
      <c r="H495" s="155">
        <v>0</v>
      </c>
      <c r="I495" s="22"/>
      <c r="J495" s="155">
        <v>-2953.97</v>
      </c>
      <c r="K495" s="22">
        <f t="shared" si="7"/>
        <v>0</v>
      </c>
    </row>
    <row r="496" spans="1:11" ht="15.95" customHeight="1" x14ac:dyDescent="0.2">
      <c r="A496" s="139" t="s">
        <v>859</v>
      </c>
      <c r="B496" s="480" t="s">
        <v>860</v>
      </c>
      <c r="C496" s="476"/>
      <c r="D496" s="476"/>
      <c r="E496" s="155">
        <v>-2514.64</v>
      </c>
      <c r="F496" s="155">
        <v>0</v>
      </c>
      <c r="G496" s="22"/>
      <c r="H496" s="155">
        <v>0</v>
      </c>
      <c r="I496" s="22"/>
      <c r="J496" s="155">
        <v>-2514.64</v>
      </c>
      <c r="K496" s="22">
        <f t="shared" si="7"/>
        <v>0</v>
      </c>
    </row>
    <row r="497" spans="1:11" ht="15.95" customHeight="1" x14ac:dyDescent="0.2">
      <c r="A497" s="139" t="s">
        <v>861</v>
      </c>
      <c r="B497" s="480" t="s">
        <v>862</v>
      </c>
      <c r="C497" s="476"/>
      <c r="D497" s="476"/>
      <c r="E497" s="155">
        <v>-29.84</v>
      </c>
      <c r="F497" s="155">
        <v>0</v>
      </c>
      <c r="G497" s="22"/>
      <c r="H497" s="155">
        <v>0</v>
      </c>
      <c r="I497" s="22"/>
      <c r="J497" s="155">
        <v>-29.84</v>
      </c>
      <c r="K497" s="22">
        <f t="shared" si="7"/>
        <v>0</v>
      </c>
    </row>
    <row r="498" spans="1:11" ht="15.95" customHeight="1" x14ac:dyDescent="0.2">
      <c r="A498" s="139" t="s">
        <v>863</v>
      </c>
      <c r="B498" s="480" t="s">
        <v>864</v>
      </c>
      <c r="C498" s="476"/>
      <c r="D498" s="476"/>
      <c r="E498" s="155">
        <v>-866.83</v>
      </c>
      <c r="F498" s="155">
        <v>0</v>
      </c>
      <c r="G498" s="22"/>
      <c r="H498" s="155">
        <v>0</v>
      </c>
      <c r="I498" s="22"/>
      <c r="J498" s="155">
        <v>-866.83</v>
      </c>
      <c r="K498" s="22">
        <f t="shared" si="7"/>
        <v>0</v>
      </c>
    </row>
    <row r="499" spans="1:11" ht="15.95" customHeight="1" x14ac:dyDescent="0.2">
      <c r="A499" s="139" t="s">
        <v>865</v>
      </c>
      <c r="B499" s="480" t="s">
        <v>866</v>
      </c>
      <c r="C499" s="476"/>
      <c r="D499" s="476"/>
      <c r="E499" s="155">
        <v>-236.03</v>
      </c>
      <c r="F499" s="155">
        <v>72675</v>
      </c>
      <c r="G499" s="22"/>
      <c r="H499" s="155">
        <v>72675</v>
      </c>
      <c r="I499" s="22"/>
      <c r="J499" s="155">
        <v>-236.03</v>
      </c>
      <c r="K499" s="22">
        <f t="shared" si="7"/>
        <v>0</v>
      </c>
    </row>
    <row r="500" spans="1:11" ht="15.95" customHeight="1" x14ac:dyDescent="0.2">
      <c r="A500" s="139" t="s">
        <v>867</v>
      </c>
      <c r="B500" s="480" t="s">
        <v>868</v>
      </c>
      <c r="C500" s="476"/>
      <c r="D500" s="476"/>
      <c r="E500" s="155">
        <v>-148.35</v>
      </c>
      <c r="F500" s="155">
        <v>148.35</v>
      </c>
      <c r="G500" s="22"/>
      <c r="H500" s="155">
        <v>112.37</v>
      </c>
      <c r="I500" s="22"/>
      <c r="J500" s="155">
        <v>-112.37</v>
      </c>
      <c r="K500" s="22">
        <f t="shared" si="7"/>
        <v>35.97999999999999</v>
      </c>
    </row>
    <row r="501" spans="1:11" ht="15.95" customHeight="1" x14ac:dyDescent="0.2">
      <c r="A501" s="139" t="s">
        <v>869</v>
      </c>
      <c r="B501" s="480" t="s">
        <v>870</v>
      </c>
      <c r="C501" s="476"/>
      <c r="D501" s="476"/>
      <c r="E501" s="155">
        <v>0</v>
      </c>
      <c r="F501" s="155">
        <v>244.31</v>
      </c>
      <c r="G501" s="22"/>
      <c r="H501" s="155">
        <v>244.31</v>
      </c>
      <c r="I501" s="22"/>
      <c r="J501" s="155">
        <v>0</v>
      </c>
      <c r="K501" s="22">
        <f t="shared" si="7"/>
        <v>0</v>
      </c>
    </row>
    <row r="502" spans="1:11" ht="15.95" customHeight="1" x14ac:dyDescent="0.2">
      <c r="A502" s="139" t="s">
        <v>871</v>
      </c>
      <c r="B502" s="480" t="s">
        <v>872</v>
      </c>
      <c r="C502" s="476"/>
      <c r="D502" s="476"/>
      <c r="E502" s="155">
        <v>-70.819999999999993</v>
      </c>
      <c r="F502" s="155">
        <v>0</v>
      </c>
      <c r="G502" s="22"/>
      <c r="H502" s="155">
        <v>0</v>
      </c>
      <c r="I502" s="22"/>
      <c r="J502" s="155">
        <v>-70.819999999999993</v>
      </c>
      <c r="K502" s="22">
        <f t="shared" si="7"/>
        <v>0</v>
      </c>
    </row>
    <row r="503" spans="1:11" ht="15.95" customHeight="1" x14ac:dyDescent="0.2">
      <c r="A503" s="139" t="s">
        <v>873</v>
      </c>
      <c r="B503" s="480" t="s">
        <v>874</v>
      </c>
      <c r="C503" s="476"/>
      <c r="D503" s="476"/>
      <c r="E503" s="155">
        <v>-396.38</v>
      </c>
      <c r="F503" s="155">
        <v>0</v>
      </c>
      <c r="G503" s="22"/>
      <c r="H503" s="155">
        <v>0</v>
      </c>
      <c r="I503" s="22"/>
      <c r="J503" s="155">
        <v>-396.38</v>
      </c>
      <c r="K503" s="22">
        <f t="shared" si="7"/>
        <v>0</v>
      </c>
    </row>
    <row r="504" spans="1:11" ht="15.95" customHeight="1" x14ac:dyDescent="0.2">
      <c r="A504" s="139" t="s">
        <v>875</v>
      </c>
      <c r="B504" s="480" t="s">
        <v>876</v>
      </c>
      <c r="C504" s="476"/>
      <c r="D504" s="476"/>
      <c r="E504" s="155">
        <v>-117.09</v>
      </c>
      <c r="F504" s="155">
        <v>0</v>
      </c>
      <c r="G504" s="22"/>
      <c r="H504" s="155">
        <v>0</v>
      </c>
      <c r="I504" s="22"/>
      <c r="J504" s="155">
        <v>-117.09</v>
      </c>
      <c r="K504" s="22">
        <f t="shared" si="7"/>
        <v>0</v>
      </c>
    </row>
    <row r="505" spans="1:11" ht="15.95" customHeight="1" x14ac:dyDescent="0.2">
      <c r="A505" s="139" t="s">
        <v>877</v>
      </c>
      <c r="B505" s="480" t="s">
        <v>878</v>
      </c>
      <c r="C505" s="476"/>
      <c r="D505" s="476"/>
      <c r="E505" s="155">
        <v>-1638.3</v>
      </c>
      <c r="F505" s="155">
        <v>0</v>
      </c>
      <c r="G505" s="22"/>
      <c r="H505" s="155">
        <v>0</v>
      </c>
      <c r="I505" s="22"/>
      <c r="J505" s="155">
        <v>-1638.3</v>
      </c>
      <c r="K505" s="22">
        <f t="shared" si="7"/>
        <v>0</v>
      </c>
    </row>
    <row r="506" spans="1:11" ht="15.95" customHeight="1" x14ac:dyDescent="0.2">
      <c r="A506" s="139" t="s">
        <v>879</v>
      </c>
      <c r="B506" s="480" t="s">
        <v>880</v>
      </c>
      <c r="C506" s="476"/>
      <c r="D506" s="476"/>
      <c r="E506" s="155">
        <v>-13.09</v>
      </c>
      <c r="F506" s="155">
        <v>0</v>
      </c>
      <c r="G506" s="22"/>
      <c r="H506" s="155">
        <v>0</v>
      </c>
      <c r="I506" s="22"/>
      <c r="J506" s="155">
        <v>-13.09</v>
      </c>
      <c r="K506" s="22">
        <f t="shared" si="7"/>
        <v>0</v>
      </c>
    </row>
    <row r="507" spans="1:11" ht="15.95" customHeight="1" x14ac:dyDescent="0.2">
      <c r="A507" s="139" t="s">
        <v>881</v>
      </c>
      <c r="B507" s="480" t="s">
        <v>882</v>
      </c>
      <c r="C507" s="476"/>
      <c r="D507" s="476"/>
      <c r="E507" s="155">
        <v>-164.32</v>
      </c>
      <c r="F507" s="155">
        <v>0</v>
      </c>
      <c r="G507" s="22"/>
      <c r="H507" s="155">
        <v>0</v>
      </c>
      <c r="I507" s="22"/>
      <c r="J507" s="155">
        <v>-164.32</v>
      </c>
      <c r="K507" s="22">
        <f t="shared" si="7"/>
        <v>0</v>
      </c>
    </row>
    <row r="508" spans="1:11" ht="15.95" customHeight="1" x14ac:dyDescent="0.2">
      <c r="A508" s="139" t="s">
        <v>883</v>
      </c>
      <c r="B508" s="480" t="s">
        <v>884</v>
      </c>
      <c r="C508" s="476"/>
      <c r="D508" s="476"/>
      <c r="E508" s="155">
        <v>-1094.4100000000001</v>
      </c>
      <c r="F508" s="155">
        <v>0</v>
      </c>
      <c r="G508" s="22"/>
      <c r="H508" s="155">
        <v>0</v>
      </c>
      <c r="I508" s="22"/>
      <c r="J508" s="155">
        <v>-1094.4100000000001</v>
      </c>
      <c r="K508" s="22">
        <f t="shared" si="7"/>
        <v>0</v>
      </c>
    </row>
    <row r="509" spans="1:11" ht="15.95" customHeight="1" x14ac:dyDescent="0.2">
      <c r="A509" s="139" t="s">
        <v>885</v>
      </c>
      <c r="B509" s="480" t="s">
        <v>886</v>
      </c>
      <c r="C509" s="476"/>
      <c r="D509" s="476"/>
      <c r="E509" s="155">
        <v>-136.56</v>
      </c>
      <c r="F509" s="155">
        <v>0</v>
      </c>
      <c r="G509" s="22"/>
      <c r="H509" s="155">
        <v>0</v>
      </c>
      <c r="I509" s="22"/>
      <c r="J509" s="155">
        <v>-136.56</v>
      </c>
      <c r="K509" s="22">
        <f t="shared" si="7"/>
        <v>0</v>
      </c>
    </row>
    <row r="510" spans="1:11" ht="15.95" customHeight="1" x14ac:dyDescent="0.2">
      <c r="A510" s="139" t="s">
        <v>887</v>
      </c>
      <c r="B510" s="480" t="s">
        <v>888</v>
      </c>
      <c r="C510" s="476"/>
      <c r="D510" s="476"/>
      <c r="E510" s="155">
        <v>-2046.48</v>
      </c>
      <c r="F510" s="155">
        <v>0</v>
      </c>
      <c r="G510" s="22"/>
      <c r="H510" s="155">
        <v>0</v>
      </c>
      <c r="I510" s="22"/>
      <c r="J510" s="155">
        <v>-2046.48</v>
      </c>
      <c r="K510" s="22">
        <f t="shared" si="7"/>
        <v>0</v>
      </c>
    </row>
    <row r="511" spans="1:11" ht="15.95" customHeight="1" x14ac:dyDescent="0.2">
      <c r="A511" s="139" t="s">
        <v>1835</v>
      </c>
      <c r="B511" s="480" t="s">
        <v>1836</v>
      </c>
      <c r="C511" s="476"/>
      <c r="D511" s="476"/>
      <c r="E511" s="155">
        <v>0</v>
      </c>
      <c r="F511" s="155">
        <v>57.64</v>
      </c>
      <c r="G511" s="22"/>
      <c r="H511" s="155">
        <v>57.64</v>
      </c>
      <c r="I511" s="22"/>
      <c r="J511" s="155">
        <v>0</v>
      </c>
      <c r="K511" s="22">
        <f t="shared" si="7"/>
        <v>0</v>
      </c>
    </row>
    <row r="512" spans="1:11" ht="15.95" customHeight="1" x14ac:dyDescent="0.2">
      <c r="A512" s="139" t="s">
        <v>889</v>
      </c>
      <c r="B512" s="480" t="s">
        <v>890</v>
      </c>
      <c r="C512" s="476"/>
      <c r="D512" s="476"/>
      <c r="E512" s="155">
        <v>-2708.77</v>
      </c>
      <c r="F512" s="155">
        <v>0</v>
      </c>
      <c r="G512" s="22"/>
      <c r="H512" s="155">
        <v>0</v>
      </c>
      <c r="I512" s="22"/>
      <c r="J512" s="155">
        <v>-2708.77</v>
      </c>
      <c r="K512" s="22">
        <f t="shared" si="7"/>
        <v>0</v>
      </c>
    </row>
    <row r="513" spans="1:11" ht="15.95" customHeight="1" x14ac:dyDescent="0.2">
      <c r="A513" s="139" t="s">
        <v>891</v>
      </c>
      <c r="B513" s="480" t="s">
        <v>892</v>
      </c>
      <c r="C513" s="476"/>
      <c r="D513" s="476"/>
      <c r="E513" s="155">
        <v>-1092.42</v>
      </c>
      <c r="F513" s="155">
        <v>0</v>
      </c>
      <c r="G513" s="22"/>
      <c r="H513" s="155">
        <v>0</v>
      </c>
      <c r="I513" s="22"/>
      <c r="J513" s="155">
        <v>-1092.42</v>
      </c>
      <c r="K513" s="22">
        <f t="shared" si="7"/>
        <v>0</v>
      </c>
    </row>
    <row r="514" spans="1:11" ht="15.95" customHeight="1" x14ac:dyDescent="0.2">
      <c r="A514" s="139" t="s">
        <v>893</v>
      </c>
      <c r="B514" s="480" t="s">
        <v>894</v>
      </c>
      <c r="C514" s="476"/>
      <c r="D514" s="476"/>
      <c r="E514" s="155">
        <v>-52.6</v>
      </c>
      <c r="F514" s="155">
        <v>0</v>
      </c>
      <c r="G514" s="22"/>
      <c r="H514" s="155">
        <v>0</v>
      </c>
      <c r="I514" s="22"/>
      <c r="J514" s="155">
        <v>-52.6</v>
      </c>
      <c r="K514" s="22">
        <f t="shared" si="7"/>
        <v>0</v>
      </c>
    </row>
    <row r="515" spans="1:11" ht="15.95" customHeight="1" x14ac:dyDescent="0.2">
      <c r="A515" s="139" t="s">
        <v>895</v>
      </c>
      <c r="B515" s="480" t="s">
        <v>896</v>
      </c>
      <c r="C515" s="476"/>
      <c r="D515" s="476"/>
      <c r="E515" s="155">
        <v>-93.68</v>
      </c>
      <c r="F515" s="155">
        <v>0</v>
      </c>
      <c r="G515" s="22"/>
      <c r="H515" s="155">
        <v>0</v>
      </c>
      <c r="I515" s="22"/>
      <c r="J515" s="155">
        <v>-93.68</v>
      </c>
      <c r="K515" s="22">
        <f t="shared" si="7"/>
        <v>0</v>
      </c>
    </row>
    <row r="516" spans="1:11" ht="15.95" customHeight="1" x14ac:dyDescent="0.2">
      <c r="A516" s="139" t="s">
        <v>897</v>
      </c>
      <c r="B516" s="480" t="s">
        <v>898</v>
      </c>
      <c r="C516" s="476"/>
      <c r="D516" s="476"/>
      <c r="E516" s="155">
        <v>-27.05</v>
      </c>
      <c r="F516" s="155">
        <v>0</v>
      </c>
      <c r="G516" s="22"/>
      <c r="H516" s="155">
        <v>0</v>
      </c>
      <c r="I516" s="22"/>
      <c r="J516" s="155">
        <v>-27.05</v>
      </c>
      <c r="K516" s="22">
        <f t="shared" ref="K516:K579" si="8">J516-E516</f>
        <v>0</v>
      </c>
    </row>
    <row r="517" spans="1:11" ht="15.95" customHeight="1" x14ac:dyDescent="0.2">
      <c r="A517" s="139" t="s">
        <v>899</v>
      </c>
      <c r="B517" s="480" t="s">
        <v>900</v>
      </c>
      <c r="C517" s="476"/>
      <c r="D517" s="476"/>
      <c r="E517" s="155">
        <v>-429.13</v>
      </c>
      <c r="F517" s="155">
        <v>0</v>
      </c>
      <c r="G517" s="22"/>
      <c r="H517" s="155">
        <v>0</v>
      </c>
      <c r="I517" s="22"/>
      <c r="J517" s="155">
        <v>-429.13</v>
      </c>
      <c r="K517" s="22">
        <f t="shared" si="8"/>
        <v>0</v>
      </c>
    </row>
    <row r="518" spans="1:11" ht="15.95" customHeight="1" x14ac:dyDescent="0.2">
      <c r="A518" s="139" t="s">
        <v>901</v>
      </c>
      <c r="B518" s="480" t="s">
        <v>902</v>
      </c>
      <c r="C518" s="476"/>
      <c r="D518" s="476"/>
      <c r="E518" s="155">
        <v>-91.74</v>
      </c>
      <c r="F518" s="155">
        <v>0</v>
      </c>
      <c r="G518" s="22"/>
      <c r="H518" s="155">
        <v>0</v>
      </c>
      <c r="I518" s="22"/>
      <c r="J518" s="155">
        <v>-91.74</v>
      </c>
      <c r="K518" s="22">
        <f t="shared" si="8"/>
        <v>0</v>
      </c>
    </row>
    <row r="519" spans="1:11" ht="15.95" customHeight="1" x14ac:dyDescent="0.2">
      <c r="A519" s="139" t="s">
        <v>903</v>
      </c>
      <c r="B519" s="480" t="s">
        <v>904</v>
      </c>
      <c r="C519" s="476"/>
      <c r="D519" s="476"/>
      <c r="E519" s="155">
        <v>-501</v>
      </c>
      <c r="F519" s="155">
        <v>0</v>
      </c>
      <c r="G519" s="22"/>
      <c r="H519" s="155">
        <v>0</v>
      </c>
      <c r="I519" s="22"/>
      <c r="J519" s="155">
        <v>-501</v>
      </c>
      <c r="K519" s="22">
        <f t="shared" si="8"/>
        <v>0</v>
      </c>
    </row>
    <row r="520" spans="1:11" ht="15.95" customHeight="1" x14ac:dyDescent="0.2">
      <c r="A520" s="139" t="s">
        <v>905</v>
      </c>
      <c r="B520" s="480" t="s">
        <v>906</v>
      </c>
      <c r="C520" s="476"/>
      <c r="D520" s="476"/>
      <c r="E520" s="155">
        <v>-4910.01</v>
      </c>
      <c r="F520" s="155">
        <v>0</v>
      </c>
      <c r="G520" s="22"/>
      <c r="H520" s="155">
        <v>0</v>
      </c>
      <c r="I520" s="22"/>
      <c r="J520" s="155">
        <v>-4910.01</v>
      </c>
      <c r="K520" s="22">
        <f t="shared" si="8"/>
        <v>0</v>
      </c>
    </row>
    <row r="521" spans="1:11" ht="15.95" customHeight="1" x14ac:dyDescent="0.2">
      <c r="A521" s="139" t="s">
        <v>1837</v>
      </c>
      <c r="B521" s="480" t="s">
        <v>1838</v>
      </c>
      <c r="C521" s="476"/>
      <c r="D521" s="476"/>
      <c r="E521" s="155">
        <v>0</v>
      </c>
      <c r="F521" s="155">
        <v>25.04</v>
      </c>
      <c r="G521" s="22"/>
      <c r="H521" s="155">
        <v>25.04</v>
      </c>
      <c r="I521" s="22"/>
      <c r="J521" s="155">
        <v>0</v>
      </c>
      <c r="K521" s="22">
        <f t="shared" si="8"/>
        <v>0</v>
      </c>
    </row>
    <row r="522" spans="1:11" ht="15.95" customHeight="1" x14ac:dyDescent="0.2">
      <c r="A522" s="139" t="s">
        <v>907</v>
      </c>
      <c r="B522" s="480" t="s">
        <v>908</v>
      </c>
      <c r="C522" s="476"/>
      <c r="D522" s="476"/>
      <c r="E522" s="155">
        <v>-106</v>
      </c>
      <c r="F522" s="155">
        <v>0</v>
      </c>
      <c r="G522" s="22"/>
      <c r="H522" s="155">
        <v>0</v>
      </c>
      <c r="I522" s="22"/>
      <c r="J522" s="155">
        <v>-106</v>
      </c>
      <c r="K522" s="22">
        <f t="shared" si="8"/>
        <v>0</v>
      </c>
    </row>
    <row r="523" spans="1:11" ht="15.95" customHeight="1" x14ac:dyDescent="0.2">
      <c r="A523" s="139" t="s">
        <v>909</v>
      </c>
      <c r="B523" s="480" t="s">
        <v>910</v>
      </c>
      <c r="C523" s="476"/>
      <c r="D523" s="476"/>
      <c r="E523" s="155">
        <v>-41.75</v>
      </c>
      <c r="F523" s="155">
        <v>0</v>
      </c>
      <c r="G523" s="22"/>
      <c r="H523" s="155">
        <v>0</v>
      </c>
      <c r="I523" s="22"/>
      <c r="J523" s="155">
        <v>-41.75</v>
      </c>
      <c r="K523" s="22">
        <f t="shared" si="8"/>
        <v>0</v>
      </c>
    </row>
    <row r="524" spans="1:11" ht="15.95" customHeight="1" x14ac:dyDescent="0.2">
      <c r="A524" s="139" t="s">
        <v>911</v>
      </c>
      <c r="B524" s="480" t="s">
        <v>912</v>
      </c>
      <c r="C524" s="476"/>
      <c r="D524" s="476"/>
      <c r="E524" s="155">
        <v>-25.84</v>
      </c>
      <c r="F524" s="155">
        <v>0</v>
      </c>
      <c r="G524" s="22"/>
      <c r="H524" s="155">
        <v>0</v>
      </c>
      <c r="I524" s="22"/>
      <c r="J524" s="155">
        <v>-25.84</v>
      </c>
      <c r="K524" s="22">
        <f t="shared" si="8"/>
        <v>0</v>
      </c>
    </row>
    <row r="525" spans="1:11" ht="15.95" customHeight="1" x14ac:dyDescent="0.2">
      <c r="A525" s="139" t="s">
        <v>913</v>
      </c>
      <c r="B525" s="480" t="s">
        <v>914</v>
      </c>
      <c r="C525" s="476"/>
      <c r="D525" s="476"/>
      <c r="E525" s="155">
        <v>-24.95</v>
      </c>
      <c r="F525" s="155">
        <v>0</v>
      </c>
      <c r="G525" s="22"/>
      <c r="H525" s="155">
        <v>0</v>
      </c>
      <c r="I525" s="22"/>
      <c r="J525" s="155">
        <v>-24.95</v>
      </c>
      <c r="K525" s="22">
        <f t="shared" si="8"/>
        <v>0</v>
      </c>
    </row>
    <row r="526" spans="1:11" ht="15.95" customHeight="1" x14ac:dyDescent="0.2">
      <c r="A526" s="139" t="s">
        <v>915</v>
      </c>
      <c r="B526" s="480" t="s">
        <v>916</v>
      </c>
      <c r="C526" s="476"/>
      <c r="D526" s="476"/>
      <c r="E526" s="155">
        <v>-2728.5</v>
      </c>
      <c r="F526" s="155">
        <v>3979.67</v>
      </c>
      <c r="G526" s="22"/>
      <c r="H526" s="155">
        <v>1251.17</v>
      </c>
      <c r="I526" s="22"/>
      <c r="J526" s="155">
        <v>0</v>
      </c>
      <c r="K526" s="22">
        <f t="shared" si="8"/>
        <v>2728.5</v>
      </c>
    </row>
    <row r="527" spans="1:11" ht="15.95" customHeight="1" x14ac:dyDescent="0.2">
      <c r="A527" s="139" t="s">
        <v>917</v>
      </c>
      <c r="B527" s="480" t="s">
        <v>918</v>
      </c>
      <c r="C527" s="476"/>
      <c r="D527" s="476"/>
      <c r="E527" s="155">
        <v>-589.86</v>
      </c>
      <c r="F527" s="155">
        <v>0</v>
      </c>
      <c r="G527" s="22"/>
      <c r="H527" s="155">
        <v>0</v>
      </c>
      <c r="I527" s="22"/>
      <c r="J527" s="155">
        <v>-589.86</v>
      </c>
      <c r="K527" s="22">
        <f t="shared" si="8"/>
        <v>0</v>
      </c>
    </row>
    <row r="528" spans="1:11" ht="15.95" customHeight="1" x14ac:dyDescent="0.2">
      <c r="A528" s="139" t="s">
        <v>919</v>
      </c>
      <c r="B528" s="480" t="s">
        <v>920</v>
      </c>
      <c r="C528" s="476"/>
      <c r="D528" s="476"/>
      <c r="E528" s="155">
        <v>-186301.34</v>
      </c>
      <c r="F528" s="155">
        <v>186301.35</v>
      </c>
      <c r="G528" s="22"/>
      <c r="H528" s="155" t="s">
        <v>921</v>
      </c>
      <c r="I528" s="22"/>
      <c r="J528" s="155">
        <v>0</v>
      </c>
      <c r="K528" s="22">
        <f t="shared" si="8"/>
        <v>186301.34</v>
      </c>
    </row>
    <row r="529" spans="1:11" ht="15.95" customHeight="1" x14ac:dyDescent="0.2">
      <c r="A529" s="139" t="s">
        <v>1839</v>
      </c>
      <c r="B529" s="480" t="s">
        <v>1840</v>
      </c>
      <c r="C529" s="476"/>
      <c r="D529" s="476"/>
      <c r="E529" s="155">
        <v>-26.36</v>
      </c>
      <c r="F529" s="155">
        <v>26.36</v>
      </c>
      <c r="G529" s="22"/>
      <c r="H529" s="155">
        <v>0</v>
      </c>
      <c r="I529" s="22"/>
      <c r="J529" s="155">
        <v>0</v>
      </c>
      <c r="K529" s="22">
        <f t="shared" si="8"/>
        <v>26.36</v>
      </c>
    </row>
    <row r="530" spans="1:11" ht="15.95" customHeight="1" x14ac:dyDescent="0.2">
      <c r="A530" s="139" t="s">
        <v>1841</v>
      </c>
      <c r="B530" s="480" t="s">
        <v>1842</v>
      </c>
      <c r="C530" s="476"/>
      <c r="D530" s="476"/>
      <c r="E530" s="155">
        <v>0</v>
      </c>
      <c r="F530" s="155">
        <v>154.22999999999999</v>
      </c>
      <c r="G530" s="22"/>
      <c r="H530" s="155">
        <v>154.22999999999999</v>
      </c>
      <c r="I530" s="22"/>
      <c r="J530" s="155">
        <v>0</v>
      </c>
      <c r="K530" s="22">
        <f t="shared" si="8"/>
        <v>0</v>
      </c>
    </row>
    <row r="531" spans="1:11" ht="15.95" customHeight="1" x14ac:dyDescent="0.2">
      <c r="A531" s="139" t="s">
        <v>1843</v>
      </c>
      <c r="B531" s="480" t="s">
        <v>1844</v>
      </c>
      <c r="C531" s="476"/>
      <c r="D531" s="476"/>
      <c r="E531" s="155">
        <v>0</v>
      </c>
      <c r="F531" s="155">
        <v>10043.85</v>
      </c>
      <c r="G531" s="22"/>
      <c r="H531" s="155">
        <v>10043.85</v>
      </c>
      <c r="I531" s="22"/>
      <c r="J531" s="155">
        <v>0</v>
      </c>
      <c r="K531" s="22">
        <f t="shared" si="8"/>
        <v>0</v>
      </c>
    </row>
    <row r="532" spans="1:11" ht="15.95" customHeight="1" x14ac:dyDescent="0.2">
      <c r="A532" s="139" t="s">
        <v>1845</v>
      </c>
      <c r="B532" s="480" t="s">
        <v>1846</v>
      </c>
      <c r="C532" s="476"/>
      <c r="D532" s="476"/>
      <c r="E532" s="155">
        <v>0</v>
      </c>
      <c r="F532" s="155">
        <v>34117.199999999997</v>
      </c>
      <c r="G532" s="22"/>
      <c r="H532" s="155">
        <v>34117.199999999997</v>
      </c>
      <c r="I532" s="22"/>
      <c r="J532" s="155">
        <v>0</v>
      </c>
      <c r="K532" s="22">
        <f t="shared" si="8"/>
        <v>0</v>
      </c>
    </row>
    <row r="533" spans="1:11" ht="15.95" customHeight="1" x14ac:dyDescent="0.2">
      <c r="A533" s="139" t="s">
        <v>922</v>
      </c>
      <c r="B533" s="480" t="s">
        <v>923</v>
      </c>
      <c r="C533" s="476"/>
      <c r="D533" s="476"/>
      <c r="E533" s="155">
        <v>0</v>
      </c>
      <c r="F533" s="155">
        <v>135.72999999999999</v>
      </c>
      <c r="G533" s="22"/>
      <c r="H533" s="155">
        <v>135.72999999999999</v>
      </c>
      <c r="I533" s="22"/>
      <c r="J533" s="155">
        <v>0</v>
      </c>
      <c r="K533" s="22">
        <f t="shared" si="8"/>
        <v>0</v>
      </c>
    </row>
    <row r="534" spans="1:11" ht="15.95" customHeight="1" x14ac:dyDescent="0.2">
      <c r="A534" s="139" t="s">
        <v>1847</v>
      </c>
      <c r="B534" s="480" t="s">
        <v>1848</v>
      </c>
      <c r="C534" s="476"/>
      <c r="D534" s="476"/>
      <c r="E534" s="155">
        <v>0</v>
      </c>
      <c r="F534" s="155">
        <v>0</v>
      </c>
      <c r="G534" s="22"/>
      <c r="H534" s="155">
        <v>26.36</v>
      </c>
      <c r="I534" s="22"/>
      <c r="J534" s="155">
        <v>-26.36</v>
      </c>
      <c r="K534" s="22">
        <f t="shared" si="8"/>
        <v>-26.36</v>
      </c>
    </row>
    <row r="535" spans="1:11" ht="15.95" customHeight="1" x14ac:dyDescent="0.2">
      <c r="A535" s="139" t="s">
        <v>924</v>
      </c>
      <c r="B535" s="480" t="s">
        <v>925</v>
      </c>
      <c r="C535" s="476"/>
      <c r="D535" s="476"/>
      <c r="E535" s="155">
        <v>-1174220.4099999999</v>
      </c>
      <c r="F535" s="155">
        <v>1086268.17</v>
      </c>
      <c r="G535" s="22"/>
      <c r="H535" s="155">
        <v>865766.86</v>
      </c>
      <c r="I535" s="22"/>
      <c r="J535" s="155">
        <v>-953719.1</v>
      </c>
      <c r="K535" s="22">
        <f t="shared" si="8"/>
        <v>220501.30999999994</v>
      </c>
    </row>
    <row r="536" spans="1:11" ht="15.95" customHeight="1" x14ac:dyDescent="0.2">
      <c r="A536" s="139">
        <v>2170103</v>
      </c>
      <c r="B536" s="480" t="s">
        <v>926</v>
      </c>
      <c r="C536" s="476"/>
      <c r="D536" s="476"/>
      <c r="E536" s="155">
        <v>-2074158.23</v>
      </c>
      <c r="F536" s="155">
        <v>0</v>
      </c>
      <c r="G536" s="22"/>
      <c r="H536" s="155">
        <v>0</v>
      </c>
      <c r="I536" s="22"/>
      <c r="J536" s="155">
        <v>-2074158.23</v>
      </c>
      <c r="K536" s="22">
        <f t="shared" si="8"/>
        <v>0</v>
      </c>
    </row>
    <row r="537" spans="1:11" ht="15.95" customHeight="1" x14ac:dyDescent="0.2">
      <c r="A537" s="139" t="s">
        <v>927</v>
      </c>
      <c r="B537" s="480" t="s">
        <v>928</v>
      </c>
      <c r="C537" s="476"/>
      <c r="D537" s="476"/>
      <c r="E537" s="155">
        <v>-130924.65</v>
      </c>
      <c r="F537" s="155">
        <v>0</v>
      </c>
      <c r="G537" s="22"/>
      <c r="H537" s="155">
        <v>0</v>
      </c>
      <c r="I537" s="22"/>
      <c r="J537" s="155">
        <v>-130924.65</v>
      </c>
      <c r="K537" s="22">
        <f t="shared" si="8"/>
        <v>0</v>
      </c>
    </row>
    <row r="538" spans="1:11" ht="15.95" customHeight="1" x14ac:dyDescent="0.2">
      <c r="A538" s="139" t="s">
        <v>929</v>
      </c>
      <c r="B538" s="480" t="s">
        <v>930</v>
      </c>
      <c r="C538" s="476"/>
      <c r="D538" s="476"/>
      <c r="E538" s="155">
        <v>-226.75</v>
      </c>
      <c r="F538" s="155">
        <v>0</v>
      </c>
      <c r="G538" s="22"/>
      <c r="H538" s="155">
        <v>0</v>
      </c>
      <c r="I538" s="22"/>
      <c r="J538" s="155">
        <v>-226.75</v>
      </c>
      <c r="K538" s="22">
        <f t="shared" si="8"/>
        <v>0</v>
      </c>
    </row>
    <row r="539" spans="1:11" ht="15.95" customHeight="1" x14ac:dyDescent="0.2">
      <c r="A539" s="139" t="s">
        <v>931</v>
      </c>
      <c r="B539" s="480" t="s">
        <v>932</v>
      </c>
      <c r="C539" s="476"/>
      <c r="D539" s="476"/>
      <c r="E539" s="155">
        <v>-1794.57</v>
      </c>
      <c r="F539" s="155">
        <v>0</v>
      </c>
      <c r="G539" s="22"/>
      <c r="H539" s="155">
        <v>0</v>
      </c>
      <c r="I539" s="22"/>
      <c r="J539" s="155">
        <v>-1794.57</v>
      </c>
      <c r="K539" s="22">
        <f t="shared" si="8"/>
        <v>0</v>
      </c>
    </row>
    <row r="540" spans="1:11" ht="15.95" customHeight="1" x14ac:dyDescent="0.2">
      <c r="A540" s="139" t="s">
        <v>933</v>
      </c>
      <c r="B540" s="480" t="s">
        <v>934</v>
      </c>
      <c r="C540" s="476"/>
      <c r="D540" s="476"/>
      <c r="E540" s="155">
        <v>-47342.879999999997</v>
      </c>
      <c r="F540" s="155">
        <v>0</v>
      </c>
      <c r="G540" s="22"/>
      <c r="H540" s="155">
        <v>0</v>
      </c>
      <c r="I540" s="22"/>
      <c r="J540" s="155">
        <v>-47342.879999999997</v>
      </c>
      <c r="K540" s="22">
        <f t="shared" si="8"/>
        <v>0</v>
      </c>
    </row>
    <row r="541" spans="1:11" ht="15.95" customHeight="1" x14ac:dyDescent="0.2">
      <c r="A541" s="139" t="s">
        <v>935</v>
      </c>
      <c r="B541" s="480" t="s">
        <v>936</v>
      </c>
      <c r="C541" s="476"/>
      <c r="D541" s="476"/>
      <c r="E541" s="155">
        <v>-2247.4699999999998</v>
      </c>
      <c r="F541" s="155">
        <v>0</v>
      </c>
      <c r="G541" s="22"/>
      <c r="H541" s="155">
        <v>0</v>
      </c>
      <c r="I541" s="22"/>
      <c r="J541" s="155">
        <v>-2247.4699999999998</v>
      </c>
      <c r="K541" s="22">
        <f t="shared" si="8"/>
        <v>0</v>
      </c>
    </row>
    <row r="542" spans="1:11" ht="27.95" customHeight="1" x14ac:dyDescent="0.2">
      <c r="A542" s="139" t="s">
        <v>937</v>
      </c>
      <c r="B542" s="480" t="s">
        <v>938</v>
      </c>
      <c r="C542" s="476"/>
      <c r="D542" s="476"/>
      <c r="E542" s="155">
        <v>-1269.3900000000001</v>
      </c>
      <c r="F542" s="155">
        <v>0</v>
      </c>
      <c r="G542" s="22"/>
      <c r="H542" s="155">
        <v>0</v>
      </c>
      <c r="I542" s="22"/>
      <c r="J542" s="155">
        <v>-1269.3900000000001</v>
      </c>
      <c r="K542" s="22">
        <f t="shared" si="8"/>
        <v>0</v>
      </c>
    </row>
    <row r="543" spans="1:11" ht="15.95" customHeight="1" x14ac:dyDescent="0.2">
      <c r="A543" s="139" t="s">
        <v>939</v>
      </c>
      <c r="B543" s="480" t="s">
        <v>940</v>
      </c>
      <c r="C543" s="476"/>
      <c r="D543" s="476"/>
      <c r="E543" s="155">
        <v>-33360.89</v>
      </c>
      <c r="F543" s="155">
        <v>0</v>
      </c>
      <c r="G543" s="22"/>
      <c r="H543" s="155">
        <v>0</v>
      </c>
      <c r="I543" s="22"/>
      <c r="J543" s="155">
        <v>-33360.89</v>
      </c>
      <c r="K543" s="22">
        <f t="shared" si="8"/>
        <v>0</v>
      </c>
    </row>
    <row r="544" spans="1:11" ht="15.95" customHeight="1" x14ac:dyDescent="0.2">
      <c r="A544" s="139" t="s">
        <v>941</v>
      </c>
      <c r="B544" s="480" t="s">
        <v>942</v>
      </c>
      <c r="C544" s="476"/>
      <c r="D544" s="476"/>
      <c r="E544" s="155">
        <v>-1242633.32</v>
      </c>
      <c r="F544" s="155">
        <v>0</v>
      </c>
      <c r="G544" s="22"/>
      <c r="H544" s="155">
        <v>0</v>
      </c>
      <c r="I544" s="22"/>
      <c r="J544" s="155">
        <v>-1242633.32</v>
      </c>
      <c r="K544" s="22">
        <f t="shared" si="8"/>
        <v>0</v>
      </c>
    </row>
    <row r="545" spans="1:11" ht="15.95" customHeight="1" x14ac:dyDescent="0.2">
      <c r="A545" s="139" t="s">
        <v>943</v>
      </c>
      <c r="B545" s="480" t="s">
        <v>944</v>
      </c>
      <c r="C545" s="476"/>
      <c r="D545" s="476"/>
      <c r="E545" s="155">
        <v>-1390.47</v>
      </c>
      <c r="F545" s="155">
        <v>0</v>
      </c>
      <c r="G545" s="22"/>
      <c r="H545" s="155">
        <v>0</v>
      </c>
      <c r="I545" s="22"/>
      <c r="J545" s="155">
        <v>-1390.47</v>
      </c>
      <c r="K545" s="22">
        <f t="shared" si="8"/>
        <v>0</v>
      </c>
    </row>
    <row r="546" spans="1:11" ht="15.95" customHeight="1" x14ac:dyDescent="0.2">
      <c r="A546" s="139" t="s">
        <v>945</v>
      </c>
      <c r="B546" s="480" t="s">
        <v>946</v>
      </c>
      <c r="C546" s="476"/>
      <c r="D546" s="476"/>
      <c r="E546" s="155">
        <v>-120520.27</v>
      </c>
      <c r="F546" s="155">
        <v>0</v>
      </c>
      <c r="G546" s="22"/>
      <c r="H546" s="155">
        <v>0</v>
      </c>
      <c r="I546" s="22"/>
      <c r="J546" s="155">
        <v>-120520.27</v>
      </c>
      <c r="K546" s="22">
        <f t="shared" si="8"/>
        <v>0</v>
      </c>
    </row>
    <row r="547" spans="1:11" ht="15.95" customHeight="1" x14ac:dyDescent="0.2">
      <c r="A547" s="139" t="s">
        <v>947</v>
      </c>
      <c r="B547" s="480" t="s">
        <v>948</v>
      </c>
      <c r="C547" s="476"/>
      <c r="D547" s="476"/>
      <c r="E547" s="155">
        <v>-328.74</v>
      </c>
      <c r="F547" s="155">
        <v>0</v>
      </c>
      <c r="G547" s="22"/>
      <c r="H547" s="155">
        <v>0</v>
      </c>
      <c r="I547" s="22"/>
      <c r="J547" s="155">
        <v>-328.74</v>
      </c>
      <c r="K547" s="22">
        <f t="shared" si="8"/>
        <v>0</v>
      </c>
    </row>
    <row r="548" spans="1:11" ht="15.95" customHeight="1" x14ac:dyDescent="0.2">
      <c r="A548" s="139" t="s">
        <v>949</v>
      </c>
      <c r="B548" s="480" t="s">
        <v>950</v>
      </c>
      <c r="C548" s="476"/>
      <c r="D548" s="476"/>
      <c r="E548" s="155">
        <v>-432.02</v>
      </c>
      <c r="F548" s="155">
        <v>0</v>
      </c>
      <c r="G548" s="22"/>
      <c r="H548" s="155">
        <v>0</v>
      </c>
      <c r="I548" s="22"/>
      <c r="J548" s="155">
        <v>-432.02</v>
      </c>
      <c r="K548" s="22">
        <f t="shared" si="8"/>
        <v>0</v>
      </c>
    </row>
    <row r="549" spans="1:11" ht="15.95" customHeight="1" x14ac:dyDescent="0.2">
      <c r="A549" s="139" t="s">
        <v>951</v>
      </c>
      <c r="B549" s="480" t="s">
        <v>952</v>
      </c>
      <c r="C549" s="476"/>
      <c r="D549" s="476"/>
      <c r="E549" s="155">
        <v>-107.73</v>
      </c>
      <c r="F549" s="155">
        <v>0</v>
      </c>
      <c r="G549" s="22"/>
      <c r="H549" s="155">
        <v>0</v>
      </c>
      <c r="I549" s="22"/>
      <c r="J549" s="155">
        <v>-107.73</v>
      </c>
      <c r="K549" s="22">
        <f t="shared" si="8"/>
        <v>0</v>
      </c>
    </row>
    <row r="550" spans="1:11" ht="15.95" customHeight="1" x14ac:dyDescent="0.2">
      <c r="A550" s="139" t="s">
        <v>953</v>
      </c>
      <c r="B550" s="480" t="s">
        <v>954</v>
      </c>
      <c r="C550" s="476"/>
      <c r="D550" s="476"/>
      <c r="E550" s="155">
        <v>-514.91999999999996</v>
      </c>
      <c r="F550" s="155">
        <v>0</v>
      </c>
      <c r="G550" s="22"/>
      <c r="H550" s="155">
        <v>0</v>
      </c>
      <c r="I550" s="22"/>
      <c r="J550" s="155">
        <v>-514.91999999999996</v>
      </c>
      <c r="K550" s="22">
        <f t="shared" si="8"/>
        <v>0</v>
      </c>
    </row>
    <row r="551" spans="1:11" ht="15.95" customHeight="1" x14ac:dyDescent="0.2">
      <c r="A551" s="139" t="s">
        <v>955</v>
      </c>
      <c r="B551" s="480" t="s">
        <v>956</v>
      </c>
      <c r="C551" s="476"/>
      <c r="D551" s="476"/>
      <c r="E551" s="155">
        <v>-18892.57</v>
      </c>
      <c r="F551" s="155">
        <v>0</v>
      </c>
      <c r="G551" s="22"/>
      <c r="H551" s="155">
        <v>0</v>
      </c>
      <c r="I551" s="22"/>
      <c r="J551" s="155">
        <v>-18892.57</v>
      </c>
      <c r="K551" s="22">
        <f t="shared" si="8"/>
        <v>0</v>
      </c>
    </row>
    <row r="552" spans="1:11" ht="15.95" customHeight="1" x14ac:dyDescent="0.2">
      <c r="A552" s="139" t="s">
        <v>957</v>
      </c>
      <c r="B552" s="480" t="s">
        <v>958</v>
      </c>
      <c r="C552" s="476"/>
      <c r="D552" s="476"/>
      <c r="E552" s="155">
        <v>-2092.9</v>
      </c>
      <c r="F552" s="155">
        <v>0</v>
      </c>
      <c r="G552" s="22"/>
      <c r="H552" s="155">
        <v>0</v>
      </c>
      <c r="I552" s="22"/>
      <c r="J552" s="155">
        <v>-2092.9</v>
      </c>
      <c r="K552" s="22">
        <f t="shared" si="8"/>
        <v>0</v>
      </c>
    </row>
    <row r="553" spans="1:11" ht="15.95" customHeight="1" x14ac:dyDescent="0.2">
      <c r="A553" s="139" t="s">
        <v>959</v>
      </c>
      <c r="B553" s="480" t="s">
        <v>960</v>
      </c>
      <c r="C553" s="476"/>
      <c r="D553" s="476"/>
      <c r="E553" s="155">
        <v>-198.92</v>
      </c>
      <c r="F553" s="155">
        <v>0</v>
      </c>
      <c r="G553" s="22"/>
      <c r="H553" s="155">
        <v>0</v>
      </c>
      <c r="I553" s="22"/>
      <c r="J553" s="155">
        <v>-198.92</v>
      </c>
      <c r="K553" s="22">
        <f t="shared" si="8"/>
        <v>0</v>
      </c>
    </row>
    <row r="554" spans="1:11" ht="15.95" customHeight="1" x14ac:dyDescent="0.2">
      <c r="A554" s="139" t="s">
        <v>961</v>
      </c>
      <c r="B554" s="480" t="s">
        <v>962</v>
      </c>
      <c r="C554" s="476"/>
      <c r="D554" s="476"/>
      <c r="E554" s="155">
        <v>-631.79999999999995</v>
      </c>
      <c r="F554" s="155">
        <v>0</v>
      </c>
      <c r="G554" s="22"/>
      <c r="H554" s="155">
        <v>0</v>
      </c>
      <c r="I554" s="22"/>
      <c r="J554" s="155">
        <v>-631.79999999999995</v>
      </c>
      <c r="K554" s="22">
        <f t="shared" si="8"/>
        <v>0</v>
      </c>
    </row>
    <row r="555" spans="1:11" ht="15.95" customHeight="1" x14ac:dyDescent="0.2">
      <c r="A555" s="139" t="s">
        <v>963</v>
      </c>
      <c r="B555" s="480" t="s">
        <v>964</v>
      </c>
      <c r="C555" s="476"/>
      <c r="D555" s="476"/>
      <c r="E555" s="155">
        <v>-11.83</v>
      </c>
      <c r="F555" s="155">
        <v>0</v>
      </c>
      <c r="G555" s="22"/>
      <c r="H555" s="155">
        <v>0</v>
      </c>
      <c r="I555" s="22"/>
      <c r="J555" s="155">
        <v>-11.83</v>
      </c>
      <c r="K555" s="22">
        <f t="shared" si="8"/>
        <v>0</v>
      </c>
    </row>
    <row r="556" spans="1:11" ht="15.95" customHeight="1" x14ac:dyDescent="0.2">
      <c r="A556" s="139" t="s">
        <v>965</v>
      </c>
      <c r="B556" s="480" t="s">
        <v>966</v>
      </c>
      <c r="C556" s="476"/>
      <c r="D556" s="476"/>
      <c r="E556" s="155">
        <v>-1312.41</v>
      </c>
      <c r="F556" s="155">
        <v>0</v>
      </c>
      <c r="G556" s="22"/>
      <c r="H556" s="155">
        <v>0</v>
      </c>
      <c r="I556" s="22"/>
      <c r="J556" s="155">
        <v>-1312.41</v>
      </c>
      <c r="K556" s="22">
        <f t="shared" si="8"/>
        <v>0</v>
      </c>
    </row>
    <row r="557" spans="1:11" ht="15.95" customHeight="1" x14ac:dyDescent="0.2">
      <c r="A557" s="139" t="s">
        <v>967</v>
      </c>
      <c r="B557" s="480" t="s">
        <v>968</v>
      </c>
      <c r="C557" s="476"/>
      <c r="D557" s="476"/>
      <c r="E557" s="155">
        <v>-334.96</v>
      </c>
      <c r="F557" s="155">
        <v>0</v>
      </c>
      <c r="G557" s="22"/>
      <c r="H557" s="155">
        <v>0</v>
      </c>
      <c r="I557" s="22"/>
      <c r="J557" s="155">
        <v>-334.96</v>
      </c>
      <c r="K557" s="22">
        <f t="shared" si="8"/>
        <v>0</v>
      </c>
    </row>
    <row r="558" spans="1:11" ht="15.95" customHeight="1" x14ac:dyDescent="0.2">
      <c r="A558" s="139" t="s">
        <v>969</v>
      </c>
      <c r="B558" s="480" t="s">
        <v>970</v>
      </c>
      <c r="C558" s="476"/>
      <c r="D558" s="476"/>
      <c r="E558" s="155">
        <v>-59.39</v>
      </c>
      <c r="F558" s="155">
        <v>0</v>
      </c>
      <c r="G558" s="22"/>
      <c r="H558" s="155">
        <v>0</v>
      </c>
      <c r="I558" s="22"/>
      <c r="J558" s="155">
        <v>-59.39</v>
      </c>
      <c r="K558" s="22">
        <f t="shared" si="8"/>
        <v>0</v>
      </c>
    </row>
    <row r="559" spans="1:11" ht="15.95" customHeight="1" x14ac:dyDescent="0.2">
      <c r="A559" s="139" t="s">
        <v>971</v>
      </c>
      <c r="B559" s="480" t="s">
        <v>972</v>
      </c>
      <c r="C559" s="476"/>
      <c r="D559" s="476"/>
      <c r="E559" s="155">
        <v>-1929.28</v>
      </c>
      <c r="F559" s="155">
        <v>0</v>
      </c>
      <c r="G559" s="22"/>
      <c r="H559" s="155">
        <v>0</v>
      </c>
      <c r="I559" s="22"/>
      <c r="J559" s="155">
        <v>-1929.28</v>
      </c>
      <c r="K559" s="22">
        <f t="shared" si="8"/>
        <v>0</v>
      </c>
    </row>
    <row r="560" spans="1:11" ht="15.95" customHeight="1" x14ac:dyDescent="0.2">
      <c r="A560" s="139" t="s">
        <v>973</v>
      </c>
      <c r="B560" s="480" t="s">
        <v>974</v>
      </c>
      <c r="C560" s="476"/>
      <c r="D560" s="476"/>
      <c r="E560" s="155">
        <v>-465600.1</v>
      </c>
      <c r="F560" s="155">
        <v>0</v>
      </c>
      <c r="G560" s="22"/>
      <c r="H560" s="155">
        <v>0</v>
      </c>
      <c r="I560" s="22"/>
      <c r="J560" s="155">
        <v>-465600.1</v>
      </c>
      <c r="K560" s="22">
        <f t="shared" si="8"/>
        <v>0</v>
      </c>
    </row>
    <row r="561" spans="1:11" ht="15.95" customHeight="1" x14ac:dyDescent="0.2">
      <c r="A561" s="139">
        <v>2170104</v>
      </c>
      <c r="B561" s="480" t="s">
        <v>975</v>
      </c>
      <c r="C561" s="476"/>
      <c r="D561" s="476"/>
      <c r="E561" s="155">
        <v>-712791.89</v>
      </c>
      <c r="F561" s="155">
        <v>0</v>
      </c>
      <c r="G561" s="22"/>
      <c r="H561" s="155">
        <v>289252.46000000002</v>
      </c>
      <c r="I561" s="22"/>
      <c r="J561" s="155">
        <v>-1002044.35</v>
      </c>
      <c r="K561" s="22">
        <f t="shared" si="8"/>
        <v>-289252.45999999996</v>
      </c>
    </row>
    <row r="562" spans="1:11" ht="15.95" customHeight="1" x14ac:dyDescent="0.2">
      <c r="A562" s="139" t="s">
        <v>976</v>
      </c>
      <c r="B562" s="480" t="s">
        <v>977</v>
      </c>
      <c r="C562" s="476"/>
      <c r="D562" s="476"/>
      <c r="E562" s="155">
        <v>-849.06</v>
      </c>
      <c r="F562" s="155">
        <v>0</v>
      </c>
      <c r="G562" s="22"/>
      <c r="H562" s="155">
        <v>0</v>
      </c>
      <c r="I562" s="22"/>
      <c r="J562" s="155">
        <v>-849.06</v>
      </c>
      <c r="K562" s="22">
        <f t="shared" si="8"/>
        <v>0</v>
      </c>
    </row>
    <row r="563" spans="1:11" ht="15.95" customHeight="1" x14ac:dyDescent="0.2">
      <c r="A563" s="139" t="s">
        <v>978</v>
      </c>
      <c r="B563" s="480" t="s">
        <v>979</v>
      </c>
      <c r="C563" s="476"/>
      <c r="D563" s="476"/>
      <c r="E563" s="155">
        <v>-27781.55</v>
      </c>
      <c r="F563" s="155">
        <v>0</v>
      </c>
      <c r="G563" s="22"/>
      <c r="H563" s="155">
        <v>9176.49</v>
      </c>
      <c r="I563" s="22"/>
      <c r="J563" s="155">
        <v>-36958.04</v>
      </c>
      <c r="K563" s="22">
        <f t="shared" si="8"/>
        <v>-9176.4900000000016</v>
      </c>
    </row>
    <row r="564" spans="1:11" ht="15.95" customHeight="1" x14ac:dyDescent="0.2">
      <c r="A564" s="139" t="s">
        <v>980</v>
      </c>
      <c r="B564" s="480" t="s">
        <v>981</v>
      </c>
      <c r="C564" s="476"/>
      <c r="D564" s="476"/>
      <c r="E564" s="155">
        <v>-6195.02</v>
      </c>
      <c r="F564" s="155">
        <v>0</v>
      </c>
      <c r="G564" s="22"/>
      <c r="H564" s="155">
        <v>1969.78</v>
      </c>
      <c r="I564" s="22"/>
      <c r="J564" s="155">
        <v>-8164.8</v>
      </c>
      <c r="K564" s="22">
        <f t="shared" si="8"/>
        <v>-1969.7799999999997</v>
      </c>
    </row>
    <row r="565" spans="1:11" ht="15.95" customHeight="1" x14ac:dyDescent="0.2">
      <c r="A565" s="139" t="s">
        <v>982</v>
      </c>
      <c r="B565" s="480" t="s">
        <v>983</v>
      </c>
      <c r="C565" s="476"/>
      <c r="D565" s="476"/>
      <c r="E565" s="155">
        <v>-63.22</v>
      </c>
      <c r="F565" s="155">
        <v>0</v>
      </c>
      <c r="G565" s="22"/>
      <c r="H565" s="155">
        <v>0</v>
      </c>
      <c r="I565" s="22"/>
      <c r="J565" s="155">
        <v>-63.22</v>
      </c>
      <c r="K565" s="22">
        <f t="shared" si="8"/>
        <v>0</v>
      </c>
    </row>
    <row r="566" spans="1:11" ht="15.95" customHeight="1" x14ac:dyDescent="0.2">
      <c r="A566" s="139" t="s">
        <v>984</v>
      </c>
      <c r="B566" s="480" t="s">
        <v>985</v>
      </c>
      <c r="C566" s="476"/>
      <c r="D566" s="476"/>
      <c r="E566" s="155">
        <v>-1061.8</v>
      </c>
      <c r="F566" s="155">
        <v>0</v>
      </c>
      <c r="G566" s="22"/>
      <c r="H566" s="155">
        <v>0</v>
      </c>
      <c r="I566" s="22"/>
      <c r="J566" s="155">
        <v>-1061.8</v>
      </c>
      <c r="K566" s="22">
        <f t="shared" si="8"/>
        <v>0</v>
      </c>
    </row>
    <row r="567" spans="1:11" ht="15.95" customHeight="1" x14ac:dyDescent="0.2">
      <c r="A567" s="139" t="s">
        <v>986</v>
      </c>
      <c r="B567" s="480" t="s">
        <v>987</v>
      </c>
      <c r="C567" s="476"/>
      <c r="D567" s="476"/>
      <c r="E567" s="155">
        <v>-134339.62</v>
      </c>
      <c r="F567" s="155">
        <v>0</v>
      </c>
      <c r="G567" s="22"/>
      <c r="H567" s="155">
        <v>44306.57</v>
      </c>
      <c r="I567" s="22"/>
      <c r="J567" s="155">
        <v>-178646.19</v>
      </c>
      <c r="K567" s="22">
        <f t="shared" si="8"/>
        <v>-44306.570000000007</v>
      </c>
    </row>
    <row r="568" spans="1:11" ht="15.95" customHeight="1" x14ac:dyDescent="0.2">
      <c r="A568" s="139" t="s">
        <v>988</v>
      </c>
      <c r="B568" s="480" t="s">
        <v>989</v>
      </c>
      <c r="C568" s="476"/>
      <c r="D568" s="476"/>
      <c r="E568" s="155">
        <v>-176.92</v>
      </c>
      <c r="F568" s="155">
        <v>0</v>
      </c>
      <c r="G568" s="22"/>
      <c r="H568" s="155">
        <v>0</v>
      </c>
      <c r="I568" s="22"/>
      <c r="J568" s="155">
        <v>-176.92</v>
      </c>
      <c r="K568" s="22">
        <f t="shared" si="8"/>
        <v>0</v>
      </c>
    </row>
    <row r="569" spans="1:11" ht="15.95" customHeight="1" x14ac:dyDescent="0.2">
      <c r="A569" s="139" t="s">
        <v>990</v>
      </c>
      <c r="B569" s="480" t="s">
        <v>991</v>
      </c>
      <c r="C569" s="476"/>
      <c r="D569" s="476"/>
      <c r="E569" s="155">
        <v>-19700.63</v>
      </c>
      <c r="F569" s="155">
        <v>0</v>
      </c>
      <c r="G569" s="22"/>
      <c r="H569" s="155">
        <v>7384.25</v>
      </c>
      <c r="I569" s="22"/>
      <c r="J569" s="155">
        <v>-27084.880000000001</v>
      </c>
      <c r="K569" s="22">
        <f t="shared" si="8"/>
        <v>-7384.25</v>
      </c>
    </row>
    <row r="570" spans="1:11" ht="15.95" customHeight="1" x14ac:dyDescent="0.2">
      <c r="A570" s="139" t="s">
        <v>992</v>
      </c>
      <c r="B570" s="480" t="s">
        <v>993</v>
      </c>
      <c r="C570" s="476"/>
      <c r="D570" s="476"/>
      <c r="E570" s="155">
        <v>-201984.8</v>
      </c>
      <c r="F570" s="155">
        <v>0</v>
      </c>
      <c r="G570" s="22"/>
      <c r="H570" s="155">
        <v>70936.149999999994</v>
      </c>
      <c r="I570" s="22"/>
      <c r="J570" s="155">
        <v>-272920.95</v>
      </c>
      <c r="K570" s="22">
        <f t="shared" si="8"/>
        <v>-70936.150000000023</v>
      </c>
    </row>
    <row r="571" spans="1:11" ht="15.95" customHeight="1" x14ac:dyDescent="0.2">
      <c r="A571" s="139" t="s">
        <v>994</v>
      </c>
      <c r="B571" s="480" t="s">
        <v>995</v>
      </c>
      <c r="C571" s="476"/>
      <c r="D571" s="476"/>
      <c r="E571" s="155">
        <v>-447.8</v>
      </c>
      <c r="F571" s="155">
        <v>0</v>
      </c>
      <c r="G571" s="22"/>
      <c r="H571" s="155">
        <v>102.76</v>
      </c>
      <c r="I571" s="22"/>
      <c r="J571" s="155">
        <v>-550.55999999999995</v>
      </c>
      <c r="K571" s="22">
        <f t="shared" si="8"/>
        <v>-102.75999999999993</v>
      </c>
    </row>
    <row r="572" spans="1:11" ht="15.95" customHeight="1" x14ac:dyDescent="0.2">
      <c r="A572" s="139" t="s">
        <v>996</v>
      </c>
      <c r="B572" s="480" t="s">
        <v>997</v>
      </c>
      <c r="C572" s="476"/>
      <c r="D572" s="476"/>
      <c r="E572" s="155">
        <v>-68.72</v>
      </c>
      <c r="F572" s="155">
        <v>0</v>
      </c>
      <c r="G572" s="22"/>
      <c r="H572" s="155">
        <v>0</v>
      </c>
      <c r="I572" s="22"/>
      <c r="J572" s="155">
        <v>-68.72</v>
      </c>
      <c r="K572" s="22">
        <f t="shared" si="8"/>
        <v>0</v>
      </c>
    </row>
    <row r="573" spans="1:11" ht="15.95" customHeight="1" x14ac:dyDescent="0.2">
      <c r="A573" s="139" t="s">
        <v>998</v>
      </c>
      <c r="B573" s="480" t="s">
        <v>999</v>
      </c>
      <c r="C573" s="476"/>
      <c r="D573" s="476"/>
      <c r="E573" s="155">
        <v>-1189.55</v>
      </c>
      <c r="F573" s="155">
        <v>0</v>
      </c>
      <c r="G573" s="22"/>
      <c r="H573" s="155">
        <v>0</v>
      </c>
      <c r="I573" s="22"/>
      <c r="J573" s="155">
        <v>-1189.55</v>
      </c>
      <c r="K573" s="22">
        <f t="shared" si="8"/>
        <v>0</v>
      </c>
    </row>
    <row r="574" spans="1:11" ht="15.95" customHeight="1" x14ac:dyDescent="0.2">
      <c r="A574" s="139" t="s">
        <v>1000</v>
      </c>
      <c r="B574" s="480" t="s">
        <v>1001</v>
      </c>
      <c r="C574" s="476"/>
      <c r="D574" s="476"/>
      <c r="E574" s="155">
        <v>-774.09</v>
      </c>
      <c r="F574" s="155">
        <v>0</v>
      </c>
      <c r="G574" s="22"/>
      <c r="H574" s="155">
        <v>0</v>
      </c>
      <c r="I574" s="22"/>
      <c r="J574" s="155">
        <v>-774.09</v>
      </c>
      <c r="K574" s="22">
        <f t="shared" si="8"/>
        <v>0</v>
      </c>
    </row>
    <row r="575" spans="1:11" ht="15.95" customHeight="1" x14ac:dyDescent="0.2">
      <c r="A575" s="139" t="s">
        <v>1002</v>
      </c>
      <c r="B575" s="480" t="s">
        <v>1003</v>
      </c>
      <c r="C575" s="476"/>
      <c r="D575" s="476"/>
      <c r="E575" s="155">
        <v>-360</v>
      </c>
      <c r="F575" s="155">
        <v>0</v>
      </c>
      <c r="G575" s="22"/>
      <c r="H575" s="155">
        <v>0</v>
      </c>
      <c r="I575" s="22"/>
      <c r="J575" s="155">
        <v>-360</v>
      </c>
      <c r="K575" s="22">
        <f t="shared" si="8"/>
        <v>0</v>
      </c>
    </row>
    <row r="576" spans="1:11" ht="15.95" customHeight="1" x14ac:dyDescent="0.2">
      <c r="A576" s="139" t="s">
        <v>1004</v>
      </c>
      <c r="B576" s="480" t="s">
        <v>1005</v>
      </c>
      <c r="C576" s="476"/>
      <c r="D576" s="476"/>
      <c r="E576" s="155">
        <v>-2180.19</v>
      </c>
      <c r="F576" s="155">
        <v>0</v>
      </c>
      <c r="G576" s="22"/>
      <c r="H576" s="155">
        <v>480.73</v>
      </c>
      <c r="I576" s="22"/>
      <c r="J576" s="155">
        <v>-2660.92</v>
      </c>
      <c r="K576" s="22">
        <f t="shared" si="8"/>
        <v>-480.73</v>
      </c>
    </row>
    <row r="577" spans="1:11" ht="15.95" customHeight="1" x14ac:dyDescent="0.2">
      <c r="A577" s="139" t="s">
        <v>1006</v>
      </c>
      <c r="B577" s="480" t="s">
        <v>1007</v>
      </c>
      <c r="C577" s="476"/>
      <c r="D577" s="476"/>
      <c r="E577" s="155">
        <v>-23381.37</v>
      </c>
      <c r="F577" s="155">
        <v>0</v>
      </c>
      <c r="G577" s="22"/>
      <c r="H577" s="155">
        <v>0</v>
      </c>
      <c r="I577" s="22"/>
      <c r="J577" s="155">
        <v>-23381.37</v>
      </c>
      <c r="K577" s="22">
        <f t="shared" si="8"/>
        <v>0</v>
      </c>
    </row>
    <row r="578" spans="1:11" ht="15.95" customHeight="1" x14ac:dyDescent="0.2">
      <c r="A578" s="139" t="s">
        <v>1008</v>
      </c>
      <c r="B578" s="480" t="s">
        <v>1009</v>
      </c>
      <c r="C578" s="476"/>
      <c r="D578" s="476"/>
      <c r="E578" s="155">
        <v>-36.67</v>
      </c>
      <c r="F578" s="155">
        <v>0</v>
      </c>
      <c r="G578" s="22"/>
      <c r="H578" s="155">
        <v>0</v>
      </c>
      <c r="I578" s="22"/>
      <c r="J578" s="155">
        <v>-36.67</v>
      </c>
      <c r="K578" s="22">
        <f t="shared" si="8"/>
        <v>0</v>
      </c>
    </row>
    <row r="579" spans="1:11" ht="15.95" customHeight="1" x14ac:dyDescent="0.2">
      <c r="A579" s="139" t="s">
        <v>1010</v>
      </c>
      <c r="B579" s="480" t="s">
        <v>1011</v>
      </c>
      <c r="C579" s="476"/>
      <c r="D579" s="476"/>
      <c r="E579" s="155">
        <v>-130436.47</v>
      </c>
      <c r="F579" s="155">
        <v>0</v>
      </c>
      <c r="G579" s="22"/>
      <c r="H579" s="155">
        <v>97679.83</v>
      </c>
      <c r="I579" s="22"/>
      <c r="J579" s="155">
        <v>-228116.3</v>
      </c>
      <c r="K579" s="22">
        <f t="shared" si="8"/>
        <v>-97679.829999999987</v>
      </c>
    </row>
    <row r="580" spans="1:11" ht="15.95" customHeight="1" x14ac:dyDescent="0.2">
      <c r="A580" s="139" t="s">
        <v>1012</v>
      </c>
      <c r="B580" s="480" t="s">
        <v>1013</v>
      </c>
      <c r="C580" s="476"/>
      <c r="D580" s="476"/>
      <c r="E580" s="155">
        <v>-90761.279999999999</v>
      </c>
      <c r="F580" s="155">
        <v>0</v>
      </c>
      <c r="G580" s="22"/>
      <c r="H580" s="155">
        <v>43146.84</v>
      </c>
      <c r="I580" s="22"/>
      <c r="J580" s="155">
        <v>-133908.12</v>
      </c>
      <c r="K580" s="22">
        <f t="shared" ref="K580:K643" si="9">J580-E580</f>
        <v>-43146.84</v>
      </c>
    </row>
    <row r="581" spans="1:11" ht="15.95" customHeight="1" x14ac:dyDescent="0.2">
      <c r="A581" s="139" t="s">
        <v>1014</v>
      </c>
      <c r="B581" s="480" t="s">
        <v>1015</v>
      </c>
      <c r="C581" s="476"/>
      <c r="D581" s="476"/>
      <c r="E581" s="155">
        <v>-8820.4599999999991</v>
      </c>
      <c r="F581" s="155">
        <v>0</v>
      </c>
      <c r="G581" s="22"/>
      <c r="H581" s="155">
        <v>3154.18</v>
      </c>
      <c r="I581" s="22"/>
      <c r="J581" s="155">
        <v>-11974.64</v>
      </c>
      <c r="K581" s="22">
        <f t="shared" si="9"/>
        <v>-3154.1800000000003</v>
      </c>
    </row>
    <row r="582" spans="1:11" ht="15.95" customHeight="1" x14ac:dyDescent="0.2">
      <c r="A582" s="139" t="s">
        <v>1016</v>
      </c>
      <c r="B582" s="480" t="s">
        <v>1017</v>
      </c>
      <c r="C582" s="476"/>
      <c r="D582" s="476"/>
      <c r="E582" s="155">
        <v>-670.72</v>
      </c>
      <c r="F582" s="155">
        <v>0</v>
      </c>
      <c r="G582" s="22"/>
      <c r="H582" s="155">
        <v>101.96</v>
      </c>
      <c r="I582" s="22"/>
      <c r="J582" s="155">
        <v>-772.68</v>
      </c>
      <c r="K582" s="22">
        <f t="shared" si="9"/>
        <v>-101.95999999999992</v>
      </c>
    </row>
    <row r="583" spans="1:11" ht="15.95" customHeight="1" x14ac:dyDescent="0.2">
      <c r="A583" s="139" t="s">
        <v>1018</v>
      </c>
      <c r="B583" s="480" t="s">
        <v>1019</v>
      </c>
      <c r="C583" s="476"/>
      <c r="D583" s="476"/>
      <c r="E583" s="155">
        <v>-3221.15</v>
      </c>
      <c r="F583" s="155">
        <v>0</v>
      </c>
      <c r="G583" s="22"/>
      <c r="H583" s="155">
        <v>0</v>
      </c>
      <c r="I583" s="22"/>
      <c r="J583" s="155">
        <v>-3221.15</v>
      </c>
      <c r="K583" s="22">
        <f t="shared" si="9"/>
        <v>0</v>
      </c>
    </row>
    <row r="584" spans="1:11" ht="15.95" customHeight="1" x14ac:dyDescent="0.2">
      <c r="A584" s="139" t="s">
        <v>1020</v>
      </c>
      <c r="B584" s="480" t="s">
        <v>1021</v>
      </c>
      <c r="C584" s="476"/>
      <c r="D584" s="476"/>
      <c r="E584" s="155">
        <v>-200.03</v>
      </c>
      <c r="F584" s="155">
        <v>0</v>
      </c>
      <c r="G584" s="22"/>
      <c r="H584" s="155">
        <v>0</v>
      </c>
      <c r="I584" s="22"/>
      <c r="J584" s="155">
        <v>-200.03</v>
      </c>
      <c r="K584" s="22">
        <f t="shared" si="9"/>
        <v>0</v>
      </c>
    </row>
    <row r="585" spans="1:11" ht="15.95" customHeight="1" x14ac:dyDescent="0.2">
      <c r="A585" s="139" t="s">
        <v>1022</v>
      </c>
      <c r="B585" s="480" t="s">
        <v>1023</v>
      </c>
      <c r="C585" s="476"/>
      <c r="D585" s="476"/>
      <c r="E585" s="155">
        <v>-339.25</v>
      </c>
      <c r="F585" s="155">
        <v>0</v>
      </c>
      <c r="G585" s="22"/>
      <c r="H585" s="155">
        <v>0</v>
      </c>
      <c r="I585" s="22"/>
      <c r="J585" s="155">
        <v>-339.25</v>
      </c>
      <c r="K585" s="22">
        <f t="shared" si="9"/>
        <v>0</v>
      </c>
    </row>
    <row r="586" spans="1:11" ht="15.95" customHeight="1" x14ac:dyDescent="0.2">
      <c r="A586" s="139" t="s">
        <v>1024</v>
      </c>
      <c r="B586" s="480" t="s">
        <v>1025</v>
      </c>
      <c r="C586" s="476"/>
      <c r="D586" s="476"/>
      <c r="E586" s="155">
        <v>-200.03</v>
      </c>
      <c r="F586" s="155">
        <v>0</v>
      </c>
      <c r="G586" s="22"/>
      <c r="H586" s="155">
        <v>0</v>
      </c>
      <c r="I586" s="22"/>
      <c r="J586" s="155">
        <v>-200.03</v>
      </c>
      <c r="K586" s="22">
        <f t="shared" si="9"/>
        <v>0</v>
      </c>
    </row>
    <row r="587" spans="1:11" ht="15.95" customHeight="1" x14ac:dyDescent="0.2">
      <c r="A587" s="139" t="s">
        <v>1026</v>
      </c>
      <c r="B587" s="480" t="s">
        <v>1027</v>
      </c>
      <c r="C587" s="476"/>
      <c r="D587" s="476"/>
      <c r="E587" s="155">
        <v>-508.19</v>
      </c>
      <c r="F587" s="155">
        <v>0</v>
      </c>
      <c r="G587" s="22"/>
      <c r="H587" s="155">
        <v>0</v>
      </c>
      <c r="I587" s="22"/>
      <c r="J587" s="155">
        <v>-508.19</v>
      </c>
      <c r="K587" s="22">
        <f t="shared" si="9"/>
        <v>0</v>
      </c>
    </row>
    <row r="588" spans="1:11" ht="15.95" customHeight="1" x14ac:dyDescent="0.2">
      <c r="A588" s="139" t="s">
        <v>1028</v>
      </c>
      <c r="B588" s="480" t="s">
        <v>1029</v>
      </c>
      <c r="C588" s="476"/>
      <c r="D588" s="476"/>
      <c r="E588" s="155">
        <v>-30882.47</v>
      </c>
      <c r="F588" s="155">
        <v>0</v>
      </c>
      <c r="G588" s="22"/>
      <c r="H588" s="155">
        <v>0</v>
      </c>
      <c r="I588" s="22"/>
      <c r="J588" s="155">
        <v>-30882.47</v>
      </c>
      <c r="K588" s="22">
        <f t="shared" si="9"/>
        <v>0</v>
      </c>
    </row>
    <row r="589" spans="1:11" ht="15.95" customHeight="1" x14ac:dyDescent="0.2">
      <c r="A589" s="139" t="s">
        <v>1030</v>
      </c>
      <c r="B589" s="480" t="s">
        <v>1031</v>
      </c>
      <c r="C589" s="476"/>
      <c r="D589" s="476"/>
      <c r="E589" s="155">
        <v>-2991.81</v>
      </c>
      <c r="F589" s="155">
        <v>0</v>
      </c>
      <c r="G589" s="22"/>
      <c r="H589" s="155">
        <v>3246.92</v>
      </c>
      <c r="I589" s="22"/>
      <c r="J589" s="155">
        <v>-6238.73</v>
      </c>
      <c r="K589" s="22">
        <f t="shared" si="9"/>
        <v>-3246.9199999999996</v>
      </c>
    </row>
    <row r="590" spans="1:11" ht="15.95" customHeight="1" x14ac:dyDescent="0.2">
      <c r="A590" s="139" t="s">
        <v>1032</v>
      </c>
      <c r="B590" s="480" t="s">
        <v>1033</v>
      </c>
      <c r="C590" s="476"/>
      <c r="D590" s="476"/>
      <c r="E590" s="155">
        <v>-585.83000000000004</v>
      </c>
      <c r="F590" s="155">
        <v>0</v>
      </c>
      <c r="G590" s="22"/>
      <c r="H590" s="155">
        <v>0</v>
      </c>
      <c r="I590" s="22"/>
      <c r="J590" s="155">
        <v>-585.83000000000004</v>
      </c>
      <c r="K590" s="22">
        <f t="shared" si="9"/>
        <v>0</v>
      </c>
    </row>
    <row r="591" spans="1:11" ht="15.95" customHeight="1" x14ac:dyDescent="0.2">
      <c r="A591" s="139" t="s">
        <v>1034</v>
      </c>
      <c r="B591" s="480" t="s">
        <v>1035</v>
      </c>
      <c r="C591" s="476"/>
      <c r="D591" s="476"/>
      <c r="E591" s="155">
        <v>-243.31</v>
      </c>
      <c r="F591" s="155">
        <v>0</v>
      </c>
      <c r="G591" s="22"/>
      <c r="H591" s="155">
        <v>0</v>
      </c>
      <c r="I591" s="22"/>
      <c r="J591" s="155">
        <v>-243.31</v>
      </c>
      <c r="K591" s="22">
        <f t="shared" si="9"/>
        <v>0</v>
      </c>
    </row>
    <row r="592" spans="1:11" ht="15.95" customHeight="1" x14ac:dyDescent="0.2">
      <c r="A592" s="139" t="s">
        <v>1036</v>
      </c>
      <c r="B592" s="480" t="s">
        <v>1037</v>
      </c>
      <c r="C592" s="476"/>
      <c r="D592" s="476"/>
      <c r="E592" s="155">
        <v>-48.41</v>
      </c>
      <c r="F592" s="155">
        <v>0</v>
      </c>
      <c r="G592" s="22"/>
      <c r="H592" s="155">
        <v>102.76</v>
      </c>
      <c r="I592" s="22"/>
      <c r="J592" s="155">
        <v>-151.16999999999999</v>
      </c>
      <c r="K592" s="22">
        <f t="shared" si="9"/>
        <v>-102.75999999999999</v>
      </c>
    </row>
    <row r="593" spans="1:11" ht="15.95" customHeight="1" x14ac:dyDescent="0.2">
      <c r="A593" s="139" t="s">
        <v>1038</v>
      </c>
      <c r="B593" s="480" t="s">
        <v>1039</v>
      </c>
      <c r="C593" s="476"/>
      <c r="D593" s="476"/>
      <c r="E593" s="155">
        <v>-16060.29</v>
      </c>
      <c r="F593" s="155">
        <v>0</v>
      </c>
      <c r="G593" s="22"/>
      <c r="H593" s="155">
        <v>701.46</v>
      </c>
      <c r="I593" s="22"/>
      <c r="J593" s="155">
        <v>-16761.75</v>
      </c>
      <c r="K593" s="22">
        <f t="shared" si="9"/>
        <v>-701.45999999999913</v>
      </c>
    </row>
    <row r="594" spans="1:11" ht="15.95" customHeight="1" x14ac:dyDescent="0.2">
      <c r="A594" s="139" t="s">
        <v>1040</v>
      </c>
      <c r="B594" s="480" t="s">
        <v>1041</v>
      </c>
      <c r="C594" s="476"/>
      <c r="D594" s="476"/>
      <c r="E594" s="155">
        <v>-6231.18</v>
      </c>
      <c r="F594" s="155">
        <v>0</v>
      </c>
      <c r="G594" s="22"/>
      <c r="H594" s="155">
        <v>6761.78</v>
      </c>
      <c r="I594" s="22"/>
      <c r="J594" s="155">
        <v>-12992.96</v>
      </c>
      <c r="K594" s="22">
        <f t="shared" si="9"/>
        <v>-6761.7799999999988</v>
      </c>
    </row>
    <row r="595" spans="1:11" ht="15.95" customHeight="1" x14ac:dyDescent="0.2">
      <c r="A595" s="139">
        <v>218</v>
      </c>
      <c r="B595" s="480" t="s">
        <v>1042</v>
      </c>
      <c r="C595" s="476"/>
      <c r="D595" s="476"/>
      <c r="E595" s="155">
        <v>-690174.06</v>
      </c>
      <c r="F595" s="155">
        <v>357664.28</v>
      </c>
      <c r="G595" s="22"/>
      <c r="H595" s="155">
        <v>215357.73</v>
      </c>
      <c r="I595" s="22"/>
      <c r="J595" s="155">
        <v>-547867.51</v>
      </c>
      <c r="K595" s="22">
        <f t="shared" si="9"/>
        <v>142306.55000000005</v>
      </c>
    </row>
    <row r="596" spans="1:11" ht="27.95" customHeight="1" x14ac:dyDescent="0.2">
      <c r="A596" s="141">
        <v>21801</v>
      </c>
      <c r="B596" s="481" t="s">
        <v>1043</v>
      </c>
      <c r="C596" s="482"/>
      <c r="D596" s="482"/>
      <c r="E596" s="156">
        <v>111291.66</v>
      </c>
      <c r="F596" s="156">
        <v>3.06</v>
      </c>
      <c r="G596" s="25"/>
      <c r="H596" s="156">
        <v>35.29</v>
      </c>
      <c r="I596" s="25"/>
      <c r="J596" s="156">
        <v>111259.43</v>
      </c>
      <c r="K596" s="25">
        <f t="shared" si="9"/>
        <v>-32.230000000010477</v>
      </c>
    </row>
    <row r="597" spans="1:11" ht="15.95" customHeight="1" x14ac:dyDescent="0.2">
      <c r="A597" s="139">
        <v>2180102</v>
      </c>
      <c r="B597" s="480" t="s">
        <v>1044</v>
      </c>
      <c r="C597" s="476"/>
      <c r="D597" s="476"/>
      <c r="E597" s="155">
        <v>-91874.99</v>
      </c>
      <c r="F597" s="155">
        <v>3.06</v>
      </c>
      <c r="G597" s="22"/>
      <c r="H597" s="155">
        <v>13.67</v>
      </c>
      <c r="I597" s="22"/>
      <c r="J597" s="155">
        <v>-91885.6</v>
      </c>
      <c r="K597" s="22">
        <f t="shared" si="9"/>
        <v>-10.610000000000582</v>
      </c>
    </row>
    <row r="598" spans="1:11" ht="15.95" customHeight="1" x14ac:dyDescent="0.2">
      <c r="A598" s="139" t="s">
        <v>1045</v>
      </c>
      <c r="B598" s="480" t="s">
        <v>1046</v>
      </c>
      <c r="C598" s="476"/>
      <c r="D598" s="476"/>
      <c r="E598" s="155">
        <v>-91874.99</v>
      </c>
      <c r="F598" s="155">
        <v>3.06</v>
      </c>
      <c r="G598" s="22"/>
      <c r="H598" s="155">
        <v>13.67</v>
      </c>
      <c r="I598" s="22"/>
      <c r="J598" s="155">
        <v>-91885.6</v>
      </c>
      <c r="K598" s="22">
        <f t="shared" si="9"/>
        <v>-10.610000000000582</v>
      </c>
    </row>
    <row r="599" spans="1:11" ht="15.95" customHeight="1" x14ac:dyDescent="0.2">
      <c r="A599" s="139">
        <v>2180103</v>
      </c>
      <c r="B599" s="480" t="s">
        <v>1047</v>
      </c>
      <c r="C599" s="476"/>
      <c r="D599" s="476"/>
      <c r="E599" s="155">
        <v>203166.65</v>
      </c>
      <c r="F599" s="155">
        <v>0</v>
      </c>
      <c r="G599" s="22"/>
      <c r="H599" s="155">
        <v>21.62</v>
      </c>
      <c r="I599" s="22"/>
      <c r="J599" s="155">
        <v>203145.03</v>
      </c>
      <c r="K599" s="22">
        <f t="shared" si="9"/>
        <v>-21.619999999995343</v>
      </c>
    </row>
    <row r="600" spans="1:11" ht="15.95" customHeight="1" x14ac:dyDescent="0.2">
      <c r="A600" s="139" t="s">
        <v>1048</v>
      </c>
      <c r="B600" s="480" t="s">
        <v>1049</v>
      </c>
      <c r="C600" s="476"/>
      <c r="D600" s="476"/>
      <c r="E600" s="155">
        <v>203166.65</v>
      </c>
      <c r="F600" s="155">
        <v>0</v>
      </c>
      <c r="G600" s="22"/>
      <c r="H600" s="155">
        <v>21.62</v>
      </c>
      <c r="I600" s="22"/>
      <c r="J600" s="155">
        <v>203145.03</v>
      </c>
      <c r="K600" s="22">
        <f t="shared" si="9"/>
        <v>-21.619999999995343</v>
      </c>
    </row>
    <row r="601" spans="1:11" ht="15.95" customHeight="1" x14ac:dyDescent="0.2">
      <c r="A601" s="141">
        <v>21802</v>
      </c>
      <c r="B601" s="481" t="s">
        <v>1050</v>
      </c>
      <c r="C601" s="482"/>
      <c r="D601" s="482"/>
      <c r="E601" s="156">
        <v>-801465.72</v>
      </c>
      <c r="F601" s="156">
        <v>357661.22</v>
      </c>
      <c r="G601" s="25"/>
      <c r="H601" s="156">
        <v>215322.44</v>
      </c>
      <c r="I601" s="25"/>
      <c r="J601" s="156">
        <v>-659126.93999999994</v>
      </c>
      <c r="K601" s="25">
        <f t="shared" si="9"/>
        <v>142338.78000000003</v>
      </c>
    </row>
    <row r="602" spans="1:11" ht="15.95" customHeight="1" x14ac:dyDescent="0.2">
      <c r="A602" s="139">
        <v>2180201</v>
      </c>
      <c r="B602" s="480" t="s">
        <v>1051</v>
      </c>
      <c r="C602" s="476"/>
      <c r="D602" s="476"/>
      <c r="E602" s="155">
        <v>-33549.699999999997</v>
      </c>
      <c r="F602" s="155">
        <v>107661.22</v>
      </c>
      <c r="G602" s="22"/>
      <c r="H602" s="155">
        <v>107661.22</v>
      </c>
      <c r="I602" s="22"/>
      <c r="J602" s="155">
        <v>-33549.699999999997</v>
      </c>
      <c r="K602" s="22">
        <f t="shared" si="9"/>
        <v>0</v>
      </c>
    </row>
    <row r="603" spans="1:11" ht="15.95" customHeight="1" x14ac:dyDescent="0.2">
      <c r="A603" s="139" t="s">
        <v>1052</v>
      </c>
      <c r="B603" s="480" t="s">
        <v>1053</v>
      </c>
      <c r="C603" s="476"/>
      <c r="D603" s="476"/>
      <c r="E603" s="155">
        <v>-33549.699999999997</v>
      </c>
      <c r="F603" s="155">
        <v>107661.22</v>
      </c>
      <c r="G603" s="22"/>
      <c r="H603" s="155">
        <v>107661.22</v>
      </c>
      <c r="I603" s="22"/>
      <c r="J603" s="155">
        <v>-33549.699999999997</v>
      </c>
      <c r="K603" s="22">
        <f t="shared" si="9"/>
        <v>0</v>
      </c>
    </row>
    <row r="604" spans="1:11" ht="15.95" customHeight="1" x14ac:dyDescent="0.2">
      <c r="A604" s="139">
        <v>2180202</v>
      </c>
      <c r="B604" s="480" t="s">
        <v>1054</v>
      </c>
      <c r="C604" s="476"/>
      <c r="D604" s="476"/>
      <c r="E604" s="155">
        <v>-253333.33</v>
      </c>
      <c r="F604" s="155">
        <v>250000</v>
      </c>
      <c r="G604" s="22"/>
      <c r="H604" s="155">
        <v>107661.22</v>
      </c>
      <c r="I604" s="22"/>
      <c r="J604" s="155">
        <v>-110994.55</v>
      </c>
      <c r="K604" s="22">
        <f t="shared" si="9"/>
        <v>142338.77999999997</v>
      </c>
    </row>
    <row r="605" spans="1:11" ht="15.95" customHeight="1" x14ac:dyDescent="0.2">
      <c r="A605" s="139" t="s">
        <v>1055</v>
      </c>
      <c r="B605" s="480" t="s">
        <v>1054</v>
      </c>
      <c r="C605" s="476"/>
      <c r="D605" s="476"/>
      <c r="E605" s="155">
        <v>-253333.33</v>
      </c>
      <c r="F605" s="155">
        <v>250000</v>
      </c>
      <c r="G605" s="22"/>
      <c r="H605" s="155">
        <v>107661.22</v>
      </c>
      <c r="I605" s="22"/>
      <c r="J605" s="155">
        <v>-110994.55</v>
      </c>
      <c r="K605" s="22">
        <f t="shared" si="9"/>
        <v>142338.77999999997</v>
      </c>
    </row>
    <row r="606" spans="1:11" ht="15.95" customHeight="1" x14ac:dyDescent="0.2">
      <c r="A606" s="139">
        <v>2180203</v>
      </c>
      <c r="B606" s="480" t="s">
        <v>1056</v>
      </c>
      <c r="C606" s="476"/>
      <c r="D606" s="476"/>
      <c r="E606" s="155">
        <v>-514582.69</v>
      </c>
      <c r="F606" s="155">
        <v>0</v>
      </c>
      <c r="G606" s="22"/>
      <c r="H606" s="155">
        <v>0</v>
      </c>
      <c r="I606" s="22"/>
      <c r="J606" s="155">
        <v>-514582.69</v>
      </c>
      <c r="K606" s="22">
        <f t="shared" si="9"/>
        <v>0</v>
      </c>
    </row>
    <row r="607" spans="1:11" ht="15.95" customHeight="1" x14ac:dyDescent="0.2">
      <c r="A607" s="139" t="s">
        <v>1057</v>
      </c>
      <c r="B607" s="480" t="s">
        <v>1056</v>
      </c>
      <c r="C607" s="476"/>
      <c r="D607" s="476"/>
      <c r="E607" s="155">
        <v>-514582.69</v>
      </c>
      <c r="F607" s="155">
        <v>0</v>
      </c>
      <c r="G607" s="22"/>
      <c r="H607" s="155">
        <v>0</v>
      </c>
      <c r="I607" s="22"/>
      <c r="J607" s="155">
        <v>-514582.69</v>
      </c>
      <c r="K607" s="22">
        <f t="shared" si="9"/>
        <v>0</v>
      </c>
    </row>
    <row r="608" spans="1:11" ht="15.95" customHeight="1" x14ac:dyDescent="0.2">
      <c r="A608" s="141">
        <v>219</v>
      </c>
      <c r="B608" s="481" t="s">
        <v>1058</v>
      </c>
      <c r="C608" s="482"/>
      <c r="D608" s="482"/>
      <c r="E608" s="156">
        <v>-1992543.36</v>
      </c>
      <c r="F608" s="156">
        <v>2753771.72</v>
      </c>
      <c r="G608" s="25"/>
      <c r="H608" s="156">
        <v>3514770.5</v>
      </c>
      <c r="I608" s="25"/>
      <c r="J608" s="156">
        <v>-2753542.14</v>
      </c>
      <c r="K608" s="25">
        <f t="shared" si="9"/>
        <v>-760998.78</v>
      </c>
    </row>
    <row r="609" spans="1:11" ht="15.95" customHeight="1" x14ac:dyDescent="0.2">
      <c r="A609" s="139">
        <v>21901</v>
      </c>
      <c r="B609" s="480" t="s">
        <v>1058</v>
      </c>
      <c r="C609" s="476"/>
      <c r="D609" s="476"/>
      <c r="E609" s="155">
        <v>-1992543.36</v>
      </c>
      <c r="F609" s="155">
        <v>2753771.72</v>
      </c>
      <c r="G609" s="22"/>
      <c r="H609" s="155">
        <v>3514770.5</v>
      </c>
      <c r="I609" s="22"/>
      <c r="J609" s="155">
        <v>-2753542.14</v>
      </c>
      <c r="K609" s="22">
        <f t="shared" si="9"/>
        <v>-760998.78</v>
      </c>
    </row>
    <row r="610" spans="1:11" ht="15.95" customHeight="1" x14ac:dyDescent="0.2">
      <c r="A610" s="139">
        <v>2190101</v>
      </c>
      <c r="B610" s="480" t="s">
        <v>1058</v>
      </c>
      <c r="C610" s="476"/>
      <c r="D610" s="476"/>
      <c r="E610" s="155">
        <v>-1992543.36</v>
      </c>
      <c r="F610" s="155">
        <v>2753771.72</v>
      </c>
      <c r="G610" s="22"/>
      <c r="H610" s="155">
        <v>3514770.5</v>
      </c>
      <c r="I610" s="22"/>
      <c r="J610" s="155">
        <v>-2753542.14</v>
      </c>
      <c r="K610" s="22">
        <f t="shared" si="9"/>
        <v>-760998.78</v>
      </c>
    </row>
    <row r="611" spans="1:11" ht="15.95" customHeight="1" x14ac:dyDescent="0.2">
      <c r="A611" s="139" t="s">
        <v>1059</v>
      </c>
      <c r="B611" s="480" t="s">
        <v>1060</v>
      </c>
      <c r="C611" s="476"/>
      <c r="D611" s="476"/>
      <c r="E611" s="155">
        <v>0</v>
      </c>
      <c r="F611" s="155">
        <v>115963.32</v>
      </c>
      <c r="G611" s="22"/>
      <c r="H611" s="155">
        <v>837344.08</v>
      </c>
      <c r="I611" s="22"/>
      <c r="J611" s="155">
        <v>-721380.76</v>
      </c>
      <c r="K611" s="22">
        <f t="shared" si="9"/>
        <v>-721380.76</v>
      </c>
    </row>
    <row r="612" spans="1:11" ht="15.95" customHeight="1" x14ac:dyDescent="0.2">
      <c r="A612" s="139" t="s">
        <v>1061</v>
      </c>
      <c r="B612" s="480" t="s">
        <v>1062</v>
      </c>
      <c r="C612" s="476"/>
      <c r="D612" s="476"/>
      <c r="E612" s="155">
        <v>-1450180.64</v>
      </c>
      <c r="F612" s="155">
        <v>2007763.33</v>
      </c>
      <c r="G612" s="22"/>
      <c r="H612" s="155">
        <v>1850520.27</v>
      </c>
      <c r="I612" s="22"/>
      <c r="J612" s="155">
        <v>-1292937.58</v>
      </c>
      <c r="K612" s="22">
        <f t="shared" si="9"/>
        <v>157243.05999999982</v>
      </c>
    </row>
    <row r="613" spans="1:11" ht="15.95" customHeight="1" x14ac:dyDescent="0.2">
      <c r="A613" s="139" t="s">
        <v>1063</v>
      </c>
      <c r="B613" s="480" t="s">
        <v>1064</v>
      </c>
      <c r="C613" s="476"/>
      <c r="D613" s="476"/>
      <c r="E613" s="155">
        <v>-387198.23</v>
      </c>
      <c r="F613" s="155">
        <v>459568.86</v>
      </c>
      <c r="G613" s="22"/>
      <c r="H613" s="155">
        <v>417584.94</v>
      </c>
      <c r="I613" s="22"/>
      <c r="J613" s="155">
        <v>-345214.31</v>
      </c>
      <c r="K613" s="22">
        <f t="shared" si="9"/>
        <v>41983.919999999984</v>
      </c>
    </row>
    <row r="614" spans="1:11" ht="15.95" customHeight="1" x14ac:dyDescent="0.2">
      <c r="A614" s="139" t="s">
        <v>1065</v>
      </c>
      <c r="B614" s="480" t="s">
        <v>1066</v>
      </c>
      <c r="C614" s="476"/>
      <c r="D614" s="476"/>
      <c r="E614" s="155">
        <v>-116014.46</v>
      </c>
      <c r="F614" s="155">
        <v>131613.21</v>
      </c>
      <c r="G614" s="22"/>
      <c r="H614" s="155">
        <v>119033.69</v>
      </c>
      <c r="I614" s="22"/>
      <c r="J614" s="155">
        <v>-103434.94</v>
      </c>
      <c r="K614" s="22">
        <f t="shared" si="9"/>
        <v>12579.520000000004</v>
      </c>
    </row>
    <row r="615" spans="1:11" ht="15.95" customHeight="1" x14ac:dyDescent="0.2">
      <c r="A615" s="139" t="s">
        <v>1067</v>
      </c>
      <c r="B615" s="480" t="s">
        <v>1068</v>
      </c>
      <c r="C615" s="476"/>
      <c r="D615" s="476"/>
      <c r="E615" s="155">
        <v>-39150.03</v>
      </c>
      <c r="F615" s="155">
        <v>8556.73</v>
      </c>
      <c r="G615" s="22"/>
      <c r="H615" s="155">
        <v>9662.1299999999992</v>
      </c>
      <c r="I615" s="22"/>
      <c r="J615" s="155">
        <v>-40255.43</v>
      </c>
      <c r="K615" s="22">
        <f t="shared" si="9"/>
        <v>-1105.4000000000015</v>
      </c>
    </row>
    <row r="616" spans="1:11" ht="15.95" customHeight="1" x14ac:dyDescent="0.2">
      <c r="A616" s="139" t="s">
        <v>1069</v>
      </c>
      <c r="B616" s="480" t="s">
        <v>1070</v>
      </c>
      <c r="C616" s="476"/>
      <c r="D616" s="476"/>
      <c r="E616" s="155">
        <v>0</v>
      </c>
      <c r="F616" s="155">
        <v>23319.25</v>
      </c>
      <c r="G616" s="22"/>
      <c r="H616" s="155">
        <v>215927.91</v>
      </c>
      <c r="I616" s="22"/>
      <c r="J616" s="155">
        <v>-192608.66</v>
      </c>
      <c r="K616" s="22">
        <f t="shared" si="9"/>
        <v>-192608.66</v>
      </c>
    </row>
    <row r="617" spans="1:11" ht="15.95" customHeight="1" x14ac:dyDescent="0.2">
      <c r="A617" s="139" t="s">
        <v>1071</v>
      </c>
      <c r="B617" s="480" t="s">
        <v>1072</v>
      </c>
      <c r="C617" s="476"/>
      <c r="D617" s="476"/>
      <c r="E617" s="155">
        <v>0</v>
      </c>
      <c r="F617" s="155">
        <v>6987.02</v>
      </c>
      <c r="G617" s="22"/>
      <c r="H617" s="155">
        <v>64697.48</v>
      </c>
      <c r="I617" s="22"/>
      <c r="J617" s="155">
        <v>-57710.46</v>
      </c>
      <c r="K617" s="22">
        <f t="shared" si="9"/>
        <v>-57710.46</v>
      </c>
    </row>
    <row r="618" spans="1:11" ht="15.95" customHeight="1" x14ac:dyDescent="0.2">
      <c r="A618" s="139">
        <v>22</v>
      </c>
      <c r="B618" s="480" t="s">
        <v>1073</v>
      </c>
      <c r="C618" s="476"/>
      <c r="D618" s="476"/>
      <c r="E618" s="155">
        <v>-56227752.259999998</v>
      </c>
      <c r="F618" s="155">
        <v>29886892.449999999</v>
      </c>
      <c r="G618" s="22"/>
      <c r="H618" s="155">
        <v>78699602.640000001</v>
      </c>
      <c r="I618" s="22"/>
      <c r="J618" s="155">
        <v>-105040462.45</v>
      </c>
      <c r="K618" s="22">
        <f t="shared" si="9"/>
        <v>-48812710.190000005</v>
      </c>
    </row>
    <row r="619" spans="1:11" ht="15.95" customHeight="1" x14ac:dyDescent="0.2">
      <c r="A619" s="141">
        <v>224</v>
      </c>
      <c r="B619" s="481" t="s">
        <v>1074</v>
      </c>
      <c r="C619" s="482"/>
      <c r="D619" s="482"/>
      <c r="E619" s="156">
        <v>-3079556.2</v>
      </c>
      <c r="F619" s="156">
        <v>691226.55</v>
      </c>
      <c r="G619" s="25"/>
      <c r="H619" s="156">
        <v>152027.64000000001</v>
      </c>
      <c r="I619" s="25"/>
      <c r="J619" s="156">
        <v>-2540357.29</v>
      </c>
      <c r="K619" s="25">
        <f t="shared" si="9"/>
        <v>539198.91000000015</v>
      </c>
    </row>
    <row r="620" spans="1:11" ht="15.95" customHeight="1" x14ac:dyDescent="0.2">
      <c r="A620" s="139">
        <v>22401</v>
      </c>
      <c r="B620" s="480" t="s">
        <v>1075</v>
      </c>
      <c r="C620" s="476"/>
      <c r="D620" s="476"/>
      <c r="E620" s="155">
        <v>-3079556.2</v>
      </c>
      <c r="F620" s="155">
        <v>691226.55</v>
      </c>
      <c r="G620" s="22"/>
      <c r="H620" s="155">
        <v>152027.64000000001</v>
      </c>
      <c r="I620" s="22"/>
      <c r="J620" s="155">
        <v>-2540357.29</v>
      </c>
      <c r="K620" s="22">
        <f t="shared" si="9"/>
        <v>539198.91000000015</v>
      </c>
    </row>
    <row r="621" spans="1:11" ht="15.95" customHeight="1" x14ac:dyDescent="0.2">
      <c r="A621" s="139">
        <v>2240101</v>
      </c>
      <c r="B621" s="480" t="s">
        <v>1075</v>
      </c>
      <c r="C621" s="476"/>
      <c r="D621" s="476"/>
      <c r="E621" s="155">
        <v>-3079556.2</v>
      </c>
      <c r="F621" s="155">
        <v>691226.55</v>
      </c>
      <c r="G621" s="22"/>
      <c r="H621" s="155">
        <v>152027.64000000001</v>
      </c>
      <c r="I621" s="22"/>
      <c r="J621" s="155">
        <v>-2540357.29</v>
      </c>
      <c r="K621" s="22">
        <f t="shared" si="9"/>
        <v>539198.91000000015</v>
      </c>
    </row>
    <row r="622" spans="1:11" ht="15.95" customHeight="1" x14ac:dyDescent="0.2">
      <c r="A622" s="139" t="s">
        <v>1076</v>
      </c>
      <c r="B622" s="480" t="s">
        <v>634</v>
      </c>
      <c r="C622" s="476"/>
      <c r="D622" s="476"/>
      <c r="E622" s="155">
        <v>-2981723.38</v>
      </c>
      <c r="F622" s="155">
        <v>629815.68000000005</v>
      </c>
      <c r="G622" s="22"/>
      <c r="H622" s="155">
        <v>152027.64000000001</v>
      </c>
      <c r="I622" s="22"/>
      <c r="J622" s="155">
        <v>-2503935.34</v>
      </c>
      <c r="K622" s="22">
        <f t="shared" si="9"/>
        <v>477788.04000000004</v>
      </c>
    </row>
    <row r="623" spans="1:11" ht="15.95" customHeight="1" x14ac:dyDescent="0.2">
      <c r="A623" s="139" t="s">
        <v>1077</v>
      </c>
      <c r="B623" s="480" t="s">
        <v>652</v>
      </c>
      <c r="C623" s="476"/>
      <c r="D623" s="476"/>
      <c r="E623" s="155">
        <v>-97832.82</v>
      </c>
      <c r="F623" s="155">
        <v>61410.87</v>
      </c>
      <c r="G623" s="22"/>
      <c r="H623" s="155">
        <v>0</v>
      </c>
      <c r="I623" s="22"/>
      <c r="J623" s="155">
        <v>-36421.949999999997</v>
      </c>
      <c r="K623" s="22">
        <f t="shared" si="9"/>
        <v>61410.87000000001</v>
      </c>
    </row>
    <row r="624" spans="1:11" ht="15.95" customHeight="1" x14ac:dyDescent="0.2">
      <c r="A624" s="141">
        <v>225</v>
      </c>
      <c r="B624" s="481" t="s">
        <v>1078</v>
      </c>
      <c r="C624" s="482"/>
      <c r="D624" s="482"/>
      <c r="E624" s="156">
        <v>-53148196.060000002</v>
      </c>
      <c r="F624" s="156">
        <v>0</v>
      </c>
      <c r="G624" s="25"/>
      <c r="H624" s="156">
        <v>1214587.2</v>
      </c>
      <c r="I624" s="25"/>
      <c r="J624" s="156">
        <v>-54362783.259999998</v>
      </c>
      <c r="K624" s="25">
        <f t="shared" si="9"/>
        <v>-1214587.1999999955</v>
      </c>
    </row>
    <row r="625" spans="1:11" ht="15.95" customHeight="1" x14ac:dyDescent="0.2">
      <c r="A625" s="139">
        <v>22501</v>
      </c>
      <c r="B625" s="480" t="s">
        <v>1079</v>
      </c>
      <c r="C625" s="476"/>
      <c r="D625" s="476"/>
      <c r="E625" s="155">
        <v>-53148196.060000002</v>
      </c>
      <c r="F625" s="155">
        <v>0</v>
      </c>
      <c r="G625" s="22"/>
      <c r="H625" s="155">
        <v>1214587.2</v>
      </c>
      <c r="I625" s="22"/>
      <c r="J625" s="155">
        <v>-54362783.259999998</v>
      </c>
      <c r="K625" s="22">
        <f t="shared" si="9"/>
        <v>-1214587.1999999955</v>
      </c>
    </row>
    <row r="626" spans="1:11" ht="15.95" customHeight="1" x14ac:dyDescent="0.2">
      <c r="A626" s="139">
        <v>2250101</v>
      </c>
      <c r="B626" s="480" t="s">
        <v>1079</v>
      </c>
      <c r="C626" s="476"/>
      <c r="D626" s="476"/>
      <c r="E626" s="155">
        <v>-53148196.060000002</v>
      </c>
      <c r="F626" s="155">
        <v>0</v>
      </c>
      <c r="G626" s="22"/>
      <c r="H626" s="155">
        <v>1214587.2</v>
      </c>
      <c r="I626" s="22"/>
      <c r="J626" s="155">
        <v>-54362783.259999998</v>
      </c>
      <c r="K626" s="22">
        <f t="shared" si="9"/>
        <v>-1214587.1999999955</v>
      </c>
    </row>
    <row r="627" spans="1:11" ht="15.95" customHeight="1" x14ac:dyDescent="0.2">
      <c r="A627" s="139" t="s">
        <v>1080</v>
      </c>
      <c r="B627" s="480" t="s">
        <v>1081</v>
      </c>
      <c r="C627" s="476"/>
      <c r="D627" s="476"/>
      <c r="E627" s="155">
        <v>-53147063.32</v>
      </c>
      <c r="F627" s="155">
        <v>0</v>
      </c>
      <c r="G627" s="22"/>
      <c r="H627" s="155">
        <v>1214561.32</v>
      </c>
      <c r="I627" s="22"/>
      <c r="J627" s="155">
        <v>-54361624.640000001</v>
      </c>
      <c r="K627" s="22">
        <f t="shared" si="9"/>
        <v>-1214561.3200000003</v>
      </c>
    </row>
    <row r="628" spans="1:11" ht="15.95" customHeight="1" x14ac:dyDescent="0.2">
      <c r="A628" s="139" t="s">
        <v>1082</v>
      </c>
      <c r="B628" s="480" t="s">
        <v>1083</v>
      </c>
      <c r="C628" s="476"/>
      <c r="D628" s="476"/>
      <c r="E628" s="155">
        <v>-1132.74</v>
      </c>
      <c r="F628" s="155">
        <v>0</v>
      </c>
      <c r="G628" s="22"/>
      <c r="H628" s="155">
        <v>25.88</v>
      </c>
      <c r="I628" s="22"/>
      <c r="J628" s="155">
        <v>-1158.6199999999999</v>
      </c>
      <c r="K628" s="22">
        <f t="shared" si="9"/>
        <v>-25.879999999999882</v>
      </c>
    </row>
    <row r="629" spans="1:11" ht="15.95" customHeight="1" x14ac:dyDescent="0.2">
      <c r="A629" s="141">
        <v>226</v>
      </c>
      <c r="B629" s="481" t="s">
        <v>1084</v>
      </c>
      <c r="C629" s="482"/>
      <c r="D629" s="482"/>
      <c r="E629" s="156">
        <v>0</v>
      </c>
      <c r="F629" s="156">
        <v>29195665.899999999</v>
      </c>
      <c r="G629" s="25"/>
      <c r="H629" s="156">
        <v>77332987.799999997</v>
      </c>
      <c r="I629" s="25"/>
      <c r="J629" s="156">
        <v>-48137321.899999999</v>
      </c>
      <c r="K629" s="25">
        <f t="shared" si="9"/>
        <v>-48137321.899999999</v>
      </c>
    </row>
    <row r="630" spans="1:11" ht="15.95" customHeight="1" x14ac:dyDescent="0.2">
      <c r="A630" s="139">
        <v>22601</v>
      </c>
      <c r="B630" s="480" t="s">
        <v>1085</v>
      </c>
      <c r="C630" s="476"/>
      <c r="D630" s="476"/>
      <c r="E630" s="155">
        <v>0</v>
      </c>
      <c r="F630" s="155">
        <v>29195665.899999999</v>
      </c>
      <c r="G630" s="22"/>
      <c r="H630" s="155">
        <v>77332987.799999997</v>
      </c>
      <c r="I630" s="22"/>
      <c r="J630" s="155">
        <v>-48137321.899999999</v>
      </c>
      <c r="K630" s="22">
        <f t="shared" si="9"/>
        <v>-48137321.899999999</v>
      </c>
    </row>
    <row r="631" spans="1:11" ht="15.95" customHeight="1" x14ac:dyDescent="0.2">
      <c r="A631" s="139">
        <v>2260101</v>
      </c>
      <c r="B631" s="480" t="s">
        <v>1085</v>
      </c>
      <c r="C631" s="476"/>
      <c r="D631" s="476"/>
      <c r="E631" s="155">
        <v>0</v>
      </c>
      <c r="F631" s="155">
        <v>29195665.899999999</v>
      </c>
      <c r="G631" s="22"/>
      <c r="H631" s="155">
        <v>77332987.799999997</v>
      </c>
      <c r="I631" s="22"/>
      <c r="J631" s="155">
        <v>-48137321.899999999</v>
      </c>
      <c r="K631" s="22">
        <f t="shared" si="9"/>
        <v>-48137321.899999999</v>
      </c>
    </row>
    <row r="632" spans="1:11" ht="15.95" customHeight="1" x14ac:dyDescent="0.2">
      <c r="A632" s="139" t="s">
        <v>1086</v>
      </c>
      <c r="B632" s="480" t="s">
        <v>1087</v>
      </c>
      <c r="C632" s="476"/>
      <c r="D632" s="476"/>
      <c r="E632" s="155">
        <v>0</v>
      </c>
      <c r="F632" s="155">
        <v>26651797.66</v>
      </c>
      <c r="G632" s="22"/>
      <c r="H632" s="155">
        <v>39748241</v>
      </c>
      <c r="I632" s="22"/>
      <c r="J632" s="155">
        <v>-13096443.34</v>
      </c>
      <c r="K632" s="22">
        <f t="shared" si="9"/>
        <v>-13096443.34</v>
      </c>
    </row>
    <row r="633" spans="1:11" ht="15.95" customHeight="1" x14ac:dyDescent="0.2">
      <c r="A633" s="139" t="s">
        <v>1088</v>
      </c>
      <c r="B633" s="480" t="s">
        <v>1089</v>
      </c>
      <c r="C633" s="476"/>
      <c r="D633" s="476"/>
      <c r="E633" s="155">
        <v>0</v>
      </c>
      <c r="F633" s="155">
        <v>0</v>
      </c>
      <c r="G633" s="22"/>
      <c r="H633" s="155">
        <v>11153597</v>
      </c>
      <c r="I633" s="22"/>
      <c r="J633" s="155">
        <v>-11153597</v>
      </c>
      <c r="K633" s="22">
        <f t="shared" si="9"/>
        <v>-11153597</v>
      </c>
    </row>
    <row r="634" spans="1:11" ht="15.95" customHeight="1" x14ac:dyDescent="0.2">
      <c r="A634" s="139" t="s">
        <v>1090</v>
      </c>
      <c r="B634" s="480" t="s">
        <v>654</v>
      </c>
      <c r="C634" s="476"/>
      <c r="D634" s="476"/>
      <c r="E634" s="155">
        <v>0</v>
      </c>
      <c r="F634" s="155">
        <v>2543868.2400000002</v>
      </c>
      <c r="G634" s="22"/>
      <c r="H634" s="155">
        <v>26431149.800000001</v>
      </c>
      <c r="I634" s="22"/>
      <c r="J634" s="155">
        <v>-23887281.559999999</v>
      </c>
      <c r="K634" s="22">
        <f t="shared" si="9"/>
        <v>-23887281.559999999</v>
      </c>
    </row>
    <row r="635" spans="1:11" ht="15.95" customHeight="1" x14ac:dyDescent="0.2">
      <c r="A635" s="141">
        <v>23</v>
      </c>
      <c r="B635" s="481" t="s">
        <v>1091</v>
      </c>
      <c r="C635" s="482"/>
      <c r="D635" s="482"/>
      <c r="E635" s="156">
        <v>-243441255.75999999</v>
      </c>
      <c r="F635" s="156">
        <v>95383170.650000006</v>
      </c>
      <c r="G635" s="25"/>
      <c r="H635" s="156">
        <v>40366493.780000001</v>
      </c>
      <c r="I635" s="25"/>
      <c r="J635" s="156">
        <v>-188424578.88999999</v>
      </c>
      <c r="K635" s="25">
        <f t="shared" si="9"/>
        <v>55016676.870000005</v>
      </c>
    </row>
    <row r="636" spans="1:11" ht="15.95" customHeight="1" x14ac:dyDescent="0.2">
      <c r="A636" s="139">
        <v>231</v>
      </c>
      <c r="B636" s="480" t="s">
        <v>1092</v>
      </c>
      <c r="C636" s="476"/>
      <c r="D636" s="476"/>
      <c r="E636" s="155">
        <v>-273318713.10000002</v>
      </c>
      <c r="F636" s="155">
        <v>0</v>
      </c>
      <c r="G636" s="22"/>
      <c r="H636" s="155">
        <v>0</v>
      </c>
      <c r="I636" s="22"/>
      <c r="J636" s="155">
        <v>-273318713.10000002</v>
      </c>
      <c r="K636" s="22">
        <f t="shared" si="9"/>
        <v>0</v>
      </c>
    </row>
    <row r="637" spans="1:11" ht="15.95" customHeight="1" x14ac:dyDescent="0.2">
      <c r="A637" s="139">
        <v>23101</v>
      </c>
      <c r="B637" s="480" t="s">
        <v>1092</v>
      </c>
      <c r="C637" s="476"/>
      <c r="D637" s="476"/>
      <c r="E637" s="155">
        <v>-273318713.10000002</v>
      </c>
      <c r="F637" s="155">
        <v>0</v>
      </c>
      <c r="G637" s="22"/>
      <c r="H637" s="155">
        <v>0</v>
      </c>
      <c r="I637" s="22"/>
      <c r="J637" s="155">
        <v>-273318713.10000002</v>
      </c>
      <c r="K637" s="22">
        <f t="shared" si="9"/>
        <v>0</v>
      </c>
    </row>
    <row r="638" spans="1:11" ht="15.95" customHeight="1" x14ac:dyDescent="0.2">
      <c r="A638" s="139">
        <v>2310101</v>
      </c>
      <c r="B638" s="480" t="s">
        <v>1092</v>
      </c>
      <c r="C638" s="476"/>
      <c r="D638" s="476"/>
      <c r="E638" s="155">
        <v>-273318713.10000002</v>
      </c>
      <c r="F638" s="155">
        <v>0</v>
      </c>
      <c r="G638" s="22"/>
      <c r="H638" s="155">
        <v>0</v>
      </c>
      <c r="I638" s="22"/>
      <c r="J638" s="155">
        <v>-273318713.10000002</v>
      </c>
      <c r="K638" s="22">
        <f t="shared" si="9"/>
        <v>0</v>
      </c>
    </row>
    <row r="639" spans="1:11" ht="15.95" customHeight="1" x14ac:dyDescent="0.2">
      <c r="A639" s="139" t="s">
        <v>1093</v>
      </c>
      <c r="B639" s="480" t="s">
        <v>1081</v>
      </c>
      <c r="C639" s="476"/>
      <c r="D639" s="476"/>
      <c r="E639" s="155">
        <v>-273137529.44</v>
      </c>
      <c r="F639" s="155">
        <v>0</v>
      </c>
      <c r="G639" s="22"/>
      <c r="H639" s="155">
        <v>0</v>
      </c>
      <c r="I639" s="22"/>
      <c r="J639" s="155">
        <v>-273137529.44</v>
      </c>
      <c r="K639" s="22">
        <f t="shared" si="9"/>
        <v>0</v>
      </c>
    </row>
    <row r="640" spans="1:11" ht="15.95" customHeight="1" x14ac:dyDescent="0.2">
      <c r="A640" s="139" t="s">
        <v>1094</v>
      </c>
      <c r="B640" s="480" t="s">
        <v>1083</v>
      </c>
      <c r="C640" s="476"/>
      <c r="D640" s="476"/>
      <c r="E640" s="155">
        <v>-181183.66</v>
      </c>
      <c r="F640" s="155">
        <v>0</v>
      </c>
      <c r="G640" s="22"/>
      <c r="H640" s="155">
        <v>0</v>
      </c>
      <c r="I640" s="22"/>
      <c r="J640" s="155">
        <v>-181183.66</v>
      </c>
      <c r="K640" s="22">
        <f t="shared" si="9"/>
        <v>0</v>
      </c>
    </row>
    <row r="641" spans="1:11" ht="15.95" customHeight="1" x14ac:dyDescent="0.2">
      <c r="A641" s="139">
        <v>234</v>
      </c>
      <c r="B641" s="480" t="s">
        <v>1095</v>
      </c>
      <c r="C641" s="476"/>
      <c r="D641" s="476"/>
      <c r="E641" s="155">
        <v>0</v>
      </c>
      <c r="F641" s="155">
        <v>11153597</v>
      </c>
      <c r="G641" s="22"/>
      <c r="H641" s="155">
        <v>0</v>
      </c>
      <c r="I641" s="22"/>
      <c r="J641" s="155">
        <v>11153597</v>
      </c>
      <c r="K641" s="22">
        <f t="shared" si="9"/>
        <v>11153597</v>
      </c>
    </row>
    <row r="642" spans="1:11" ht="15.95" customHeight="1" x14ac:dyDescent="0.2">
      <c r="A642" s="139">
        <v>23401</v>
      </c>
      <c r="B642" s="480" t="s">
        <v>1096</v>
      </c>
      <c r="C642" s="476"/>
      <c r="D642" s="476"/>
      <c r="E642" s="155">
        <v>0</v>
      </c>
      <c r="F642" s="155">
        <v>11153597</v>
      </c>
      <c r="G642" s="22"/>
      <c r="H642" s="155">
        <v>0</v>
      </c>
      <c r="I642" s="22"/>
      <c r="J642" s="155">
        <v>11153597</v>
      </c>
      <c r="K642" s="22">
        <f t="shared" si="9"/>
        <v>11153597</v>
      </c>
    </row>
    <row r="643" spans="1:11" ht="15.95" customHeight="1" x14ac:dyDescent="0.2">
      <c r="A643" s="139">
        <v>2340101</v>
      </c>
      <c r="B643" s="480" t="s">
        <v>1096</v>
      </c>
      <c r="C643" s="476"/>
      <c r="D643" s="476"/>
      <c r="E643" s="155">
        <v>0</v>
      </c>
      <c r="F643" s="155">
        <v>11153597</v>
      </c>
      <c r="G643" s="22"/>
      <c r="H643" s="155">
        <v>0</v>
      </c>
      <c r="I643" s="22"/>
      <c r="J643" s="155">
        <v>11153597</v>
      </c>
      <c r="K643" s="22">
        <f t="shared" si="9"/>
        <v>11153597</v>
      </c>
    </row>
    <row r="644" spans="1:11" ht="15.95" customHeight="1" x14ac:dyDescent="0.2">
      <c r="A644" s="139" t="s">
        <v>1097</v>
      </c>
      <c r="B644" s="480" t="s">
        <v>1098</v>
      </c>
      <c r="C644" s="476"/>
      <c r="D644" s="476"/>
      <c r="E644" s="155">
        <v>0</v>
      </c>
      <c r="F644" s="155">
        <v>11153597</v>
      </c>
      <c r="G644" s="22"/>
      <c r="H644" s="155">
        <v>0</v>
      </c>
      <c r="I644" s="22"/>
      <c r="J644" s="155">
        <v>11153597</v>
      </c>
      <c r="K644" s="22">
        <f t="shared" ref="K644:K707" si="10">J644-E644</f>
        <v>11153597</v>
      </c>
    </row>
    <row r="645" spans="1:11" ht="15.95" customHeight="1" x14ac:dyDescent="0.2">
      <c r="A645" s="139">
        <v>237</v>
      </c>
      <c r="B645" s="480" t="s">
        <v>1099</v>
      </c>
      <c r="C645" s="476"/>
      <c r="D645" s="476"/>
      <c r="E645" s="155">
        <v>-1461090.36</v>
      </c>
      <c r="F645" s="155">
        <v>0</v>
      </c>
      <c r="G645" s="22"/>
      <c r="H645" s="155">
        <v>33390.07</v>
      </c>
      <c r="I645" s="22"/>
      <c r="J645" s="155">
        <v>-1494480.43</v>
      </c>
      <c r="K645" s="22">
        <f t="shared" si="10"/>
        <v>-33390.069999999832</v>
      </c>
    </row>
    <row r="646" spans="1:11" ht="15.95" customHeight="1" x14ac:dyDescent="0.2">
      <c r="A646" s="139">
        <v>23701</v>
      </c>
      <c r="B646" s="480" t="s">
        <v>1100</v>
      </c>
      <c r="C646" s="476"/>
      <c r="D646" s="476"/>
      <c r="E646" s="155">
        <v>-1461090.36</v>
      </c>
      <c r="F646" s="155">
        <v>0</v>
      </c>
      <c r="G646" s="22"/>
      <c r="H646" s="155">
        <v>33390.07</v>
      </c>
      <c r="I646" s="22"/>
      <c r="J646" s="155">
        <v>-1494480.43</v>
      </c>
      <c r="K646" s="22">
        <f t="shared" si="10"/>
        <v>-33390.069999999832</v>
      </c>
    </row>
    <row r="647" spans="1:11" ht="15.95" customHeight="1" x14ac:dyDescent="0.2">
      <c r="A647" s="139">
        <v>2370101</v>
      </c>
      <c r="B647" s="480" t="s">
        <v>1100</v>
      </c>
      <c r="C647" s="476"/>
      <c r="D647" s="476"/>
      <c r="E647" s="155">
        <v>-1461090.36</v>
      </c>
      <c r="F647" s="155">
        <v>0</v>
      </c>
      <c r="G647" s="22"/>
      <c r="H647" s="155">
        <v>33390.07</v>
      </c>
      <c r="I647" s="22"/>
      <c r="J647" s="155">
        <v>-1494480.43</v>
      </c>
      <c r="K647" s="22">
        <f t="shared" si="10"/>
        <v>-33390.069999999832</v>
      </c>
    </row>
    <row r="648" spans="1:11" ht="15.95" customHeight="1" x14ac:dyDescent="0.2">
      <c r="A648" s="139" t="s">
        <v>1101</v>
      </c>
      <c r="B648" s="480" t="s">
        <v>1102</v>
      </c>
      <c r="C648" s="476"/>
      <c r="D648" s="476"/>
      <c r="E648" s="155">
        <v>-1461090.36</v>
      </c>
      <c r="F648" s="155">
        <v>0</v>
      </c>
      <c r="G648" s="22"/>
      <c r="H648" s="155">
        <v>33390.07</v>
      </c>
      <c r="I648" s="22"/>
      <c r="J648" s="155">
        <v>-1494480.43</v>
      </c>
      <c r="K648" s="22">
        <f t="shared" si="10"/>
        <v>-33390.069999999832</v>
      </c>
    </row>
    <row r="649" spans="1:11" ht="15.95" customHeight="1" x14ac:dyDescent="0.2">
      <c r="A649" s="139">
        <v>238</v>
      </c>
      <c r="B649" s="480" t="s">
        <v>1103</v>
      </c>
      <c r="C649" s="476"/>
      <c r="D649" s="476"/>
      <c r="E649" s="155">
        <v>-8546606.6600000001</v>
      </c>
      <c r="F649" s="155">
        <v>0</v>
      </c>
      <c r="G649" s="22"/>
      <c r="H649" s="155">
        <v>0</v>
      </c>
      <c r="I649" s="22"/>
      <c r="J649" s="155">
        <v>-8546606.6600000001</v>
      </c>
      <c r="K649" s="22">
        <f t="shared" si="10"/>
        <v>0</v>
      </c>
    </row>
    <row r="650" spans="1:11" ht="27.95" customHeight="1" x14ac:dyDescent="0.2">
      <c r="A650" s="139">
        <v>23801</v>
      </c>
      <c r="B650" s="480" t="s">
        <v>1103</v>
      </c>
      <c r="C650" s="476"/>
      <c r="D650" s="476"/>
      <c r="E650" s="155">
        <v>-8546606.6600000001</v>
      </c>
      <c r="F650" s="155">
        <v>0</v>
      </c>
      <c r="G650" s="22"/>
      <c r="H650" s="155">
        <v>0</v>
      </c>
      <c r="I650" s="22"/>
      <c r="J650" s="155">
        <v>-8546606.6600000001</v>
      </c>
      <c r="K650" s="22">
        <f t="shared" si="10"/>
        <v>0</v>
      </c>
    </row>
    <row r="651" spans="1:11" ht="15.95" customHeight="1" x14ac:dyDescent="0.2">
      <c r="A651" s="139">
        <v>2380101</v>
      </c>
      <c r="B651" s="480" t="s">
        <v>1103</v>
      </c>
      <c r="C651" s="476"/>
      <c r="D651" s="476"/>
      <c r="E651" s="155">
        <v>-8546606.6600000001</v>
      </c>
      <c r="F651" s="155">
        <v>0</v>
      </c>
      <c r="G651" s="22"/>
      <c r="H651" s="155">
        <v>0</v>
      </c>
      <c r="I651" s="22"/>
      <c r="J651" s="155">
        <v>-8546606.6600000001</v>
      </c>
      <c r="K651" s="22">
        <f t="shared" si="10"/>
        <v>0</v>
      </c>
    </row>
    <row r="652" spans="1:11" ht="15.95" customHeight="1" x14ac:dyDescent="0.2">
      <c r="A652" s="139" t="s">
        <v>1104</v>
      </c>
      <c r="B652" s="480" t="s">
        <v>1081</v>
      </c>
      <c r="C652" s="476"/>
      <c r="D652" s="476"/>
      <c r="E652" s="155">
        <v>-8546606.6600000001</v>
      </c>
      <c r="F652" s="155">
        <v>0</v>
      </c>
      <c r="G652" s="22"/>
      <c r="H652" s="155">
        <v>0</v>
      </c>
      <c r="I652" s="22"/>
      <c r="J652" s="155">
        <v>-8546606.6600000001</v>
      </c>
      <c r="K652" s="22">
        <f t="shared" si="10"/>
        <v>0</v>
      </c>
    </row>
    <row r="653" spans="1:11" ht="15.95" customHeight="1" x14ac:dyDescent="0.2">
      <c r="A653" s="139">
        <v>239</v>
      </c>
      <c r="B653" s="480" t="s">
        <v>1105</v>
      </c>
      <c r="C653" s="476"/>
      <c r="D653" s="476"/>
      <c r="E653" s="155">
        <v>39885154.359999999</v>
      </c>
      <c r="F653" s="155">
        <v>84229573.650000006</v>
      </c>
      <c r="G653" s="22"/>
      <c r="H653" s="155">
        <v>40333103.710000001</v>
      </c>
      <c r="I653" s="22"/>
      <c r="J653" s="155">
        <v>83781624.299999997</v>
      </c>
      <c r="K653" s="22">
        <f t="shared" si="10"/>
        <v>43896469.939999998</v>
      </c>
    </row>
    <row r="654" spans="1:11" ht="15.95" customHeight="1" x14ac:dyDescent="0.2">
      <c r="A654" s="139">
        <v>23901</v>
      </c>
      <c r="B654" s="480" t="s">
        <v>1105</v>
      </c>
      <c r="C654" s="476"/>
      <c r="D654" s="476"/>
      <c r="E654" s="155">
        <v>39885154.359999999</v>
      </c>
      <c r="F654" s="155">
        <v>84229573.650000006</v>
      </c>
      <c r="G654" s="22"/>
      <c r="H654" s="155">
        <v>40333103.710000001</v>
      </c>
      <c r="I654" s="22"/>
      <c r="J654" s="155">
        <v>83781624.299999997</v>
      </c>
      <c r="K654" s="22">
        <f t="shared" si="10"/>
        <v>43896469.939999998</v>
      </c>
    </row>
    <row r="655" spans="1:11" ht="15.95" customHeight="1" x14ac:dyDescent="0.2">
      <c r="A655" s="139">
        <v>2390101</v>
      </c>
      <c r="B655" s="480" t="s">
        <v>1106</v>
      </c>
      <c r="C655" s="476"/>
      <c r="D655" s="476"/>
      <c r="E655" s="155">
        <v>0</v>
      </c>
      <c r="F655" s="155">
        <v>9450145.6500000004</v>
      </c>
      <c r="G655" s="22"/>
      <c r="H655" s="155">
        <v>1662082.72</v>
      </c>
      <c r="I655" s="22"/>
      <c r="J655" s="155">
        <v>7788062.9299999997</v>
      </c>
      <c r="K655" s="22">
        <f t="shared" si="10"/>
        <v>7788062.9299999997</v>
      </c>
    </row>
    <row r="656" spans="1:11" ht="15.95" customHeight="1" x14ac:dyDescent="0.2">
      <c r="A656" s="139" t="s">
        <v>1107</v>
      </c>
      <c r="B656" s="480" t="s">
        <v>1108</v>
      </c>
      <c r="C656" s="476"/>
      <c r="D656" s="476"/>
      <c r="E656" s="155">
        <v>0</v>
      </c>
      <c r="F656" s="155">
        <v>102154.99</v>
      </c>
      <c r="G656" s="22"/>
      <c r="H656" s="155">
        <v>102154.99</v>
      </c>
      <c r="I656" s="22"/>
      <c r="J656" s="155">
        <v>0</v>
      </c>
      <c r="K656" s="22">
        <f t="shared" si="10"/>
        <v>0</v>
      </c>
    </row>
    <row r="657" spans="1:12" ht="15.95" customHeight="1" x14ac:dyDescent="0.2">
      <c r="A657" s="139" t="s">
        <v>1109</v>
      </c>
      <c r="B657" s="480" t="s">
        <v>1110</v>
      </c>
      <c r="C657" s="476"/>
      <c r="D657" s="476"/>
      <c r="E657" s="155">
        <v>0</v>
      </c>
      <c r="F657" s="155">
        <v>8168838.6600000001</v>
      </c>
      <c r="G657" s="22"/>
      <c r="H657" s="155">
        <v>380775.73</v>
      </c>
      <c r="I657" s="22"/>
      <c r="J657" s="155">
        <v>7788062.9299999997</v>
      </c>
      <c r="K657" s="22">
        <f t="shared" si="10"/>
        <v>7788062.9299999997</v>
      </c>
    </row>
    <row r="658" spans="1:12" ht="15.95" customHeight="1" x14ac:dyDescent="0.2">
      <c r="A658" s="139" t="s">
        <v>1849</v>
      </c>
      <c r="B658" s="480" t="s">
        <v>1850</v>
      </c>
      <c r="C658" s="476"/>
      <c r="D658" s="476"/>
      <c r="E658" s="155">
        <v>0</v>
      </c>
      <c r="F658" s="155">
        <v>1179152</v>
      </c>
      <c r="G658" s="22"/>
      <c r="H658" s="155">
        <v>1179152</v>
      </c>
      <c r="I658" s="22"/>
      <c r="J658" s="155">
        <v>0</v>
      </c>
      <c r="K658" s="22">
        <f t="shared" si="10"/>
        <v>0</v>
      </c>
    </row>
    <row r="659" spans="1:12" ht="15.95" customHeight="1" x14ac:dyDescent="0.2">
      <c r="A659" s="139">
        <v>2390102</v>
      </c>
      <c r="B659" s="480" t="s">
        <v>1111</v>
      </c>
      <c r="C659" s="476"/>
      <c r="D659" s="476"/>
      <c r="E659" s="155">
        <v>39885154.359999999</v>
      </c>
      <c r="F659" s="155">
        <v>37389714</v>
      </c>
      <c r="G659" s="22"/>
      <c r="H659" s="155">
        <v>1281306.99</v>
      </c>
      <c r="I659" s="22"/>
      <c r="J659" s="155">
        <v>75993561.370000005</v>
      </c>
      <c r="K659" s="22">
        <f t="shared" si="10"/>
        <v>36108407.010000005</v>
      </c>
    </row>
    <row r="660" spans="1:12" ht="15.95" customHeight="1" x14ac:dyDescent="0.2">
      <c r="A660" s="139" t="s">
        <v>1112</v>
      </c>
      <c r="B660" s="480" t="s">
        <v>1113</v>
      </c>
      <c r="C660" s="476"/>
      <c r="D660" s="476"/>
      <c r="E660" s="155">
        <v>14487654.380000001</v>
      </c>
      <c r="F660" s="155">
        <v>0</v>
      </c>
      <c r="G660" s="22"/>
      <c r="H660" s="155">
        <v>0</v>
      </c>
      <c r="I660" s="22"/>
      <c r="J660" s="155">
        <v>14487654.380000001</v>
      </c>
      <c r="K660" s="22">
        <f t="shared" si="10"/>
        <v>0</v>
      </c>
    </row>
    <row r="661" spans="1:12" ht="15.95" customHeight="1" x14ac:dyDescent="0.2">
      <c r="A661" s="139" t="s">
        <v>1114</v>
      </c>
      <c r="B661" s="480" t="s">
        <v>1115</v>
      </c>
      <c r="C661" s="476"/>
      <c r="D661" s="476"/>
      <c r="E661" s="155">
        <v>25397499.98</v>
      </c>
      <c r="F661" s="155">
        <v>37389714</v>
      </c>
      <c r="G661" s="22"/>
      <c r="H661" s="155">
        <v>1281306.99</v>
      </c>
      <c r="I661" s="22"/>
      <c r="J661" s="155">
        <v>61505906.990000002</v>
      </c>
      <c r="K661" s="22">
        <f t="shared" si="10"/>
        <v>36108407.010000005</v>
      </c>
    </row>
    <row r="662" spans="1:12" ht="15.95" customHeight="1" x14ac:dyDescent="0.2">
      <c r="A662" s="139">
        <v>2390103</v>
      </c>
      <c r="B662" s="480" t="s">
        <v>1116</v>
      </c>
      <c r="C662" s="476"/>
      <c r="D662" s="476"/>
      <c r="E662" s="155">
        <v>0</v>
      </c>
      <c r="F662" s="155">
        <v>37389714</v>
      </c>
      <c r="G662" s="22"/>
      <c r="H662" s="155">
        <v>37389714</v>
      </c>
      <c r="I662" s="22"/>
      <c r="J662" s="155">
        <v>0</v>
      </c>
      <c r="K662" s="22">
        <f t="shared" si="10"/>
        <v>0</v>
      </c>
    </row>
    <row r="663" spans="1:12" ht="15.95" customHeight="1" x14ac:dyDescent="0.2">
      <c r="A663" s="139" t="s">
        <v>1117</v>
      </c>
      <c r="B663" s="480" t="s">
        <v>1118</v>
      </c>
      <c r="C663" s="476"/>
      <c r="D663" s="476"/>
      <c r="E663" s="155">
        <v>0</v>
      </c>
      <c r="F663" s="155">
        <v>37389714</v>
      </c>
      <c r="G663" s="22"/>
      <c r="H663" s="155">
        <v>37389714</v>
      </c>
      <c r="I663" s="22"/>
      <c r="J663" s="155">
        <v>0</v>
      </c>
      <c r="K663" s="22">
        <f t="shared" si="10"/>
        <v>0</v>
      </c>
    </row>
    <row r="664" spans="1:12" ht="15.95" customHeight="1" x14ac:dyDescent="0.2">
      <c r="A664" s="139">
        <v>24</v>
      </c>
      <c r="B664" s="480" t="s">
        <v>1119</v>
      </c>
      <c r="C664" s="476"/>
      <c r="D664" s="476"/>
      <c r="E664" s="155">
        <v>-1236717.49</v>
      </c>
      <c r="F664" s="155">
        <v>0</v>
      </c>
      <c r="G664" s="22"/>
      <c r="H664" s="155">
        <v>0</v>
      </c>
      <c r="I664" s="22"/>
      <c r="J664" s="155">
        <v>-1236717.49</v>
      </c>
      <c r="K664" s="22">
        <f t="shared" si="10"/>
        <v>0</v>
      </c>
    </row>
    <row r="665" spans="1:12" ht="15.95" customHeight="1" x14ac:dyDescent="0.2">
      <c r="A665" s="139">
        <v>241</v>
      </c>
      <c r="B665" s="480" t="s">
        <v>456</v>
      </c>
      <c r="C665" s="476"/>
      <c r="D665" s="476"/>
      <c r="E665" s="155">
        <v>-1236717.49</v>
      </c>
      <c r="F665" s="155">
        <v>0</v>
      </c>
      <c r="G665" s="22"/>
      <c r="H665" s="155">
        <v>0</v>
      </c>
      <c r="I665" s="22"/>
      <c r="J665" s="155">
        <v>-1236717.49</v>
      </c>
      <c r="K665" s="22">
        <f t="shared" si="10"/>
        <v>0</v>
      </c>
    </row>
    <row r="666" spans="1:12" ht="15.95" customHeight="1" x14ac:dyDescent="0.2">
      <c r="A666" s="139">
        <v>24101</v>
      </c>
      <c r="B666" s="480" t="s">
        <v>1120</v>
      </c>
      <c r="C666" s="476"/>
      <c r="D666" s="476"/>
      <c r="E666" s="155">
        <v>-1236717.49</v>
      </c>
      <c r="F666" s="155">
        <v>0</v>
      </c>
      <c r="G666" s="22"/>
      <c r="H666" s="155">
        <v>0</v>
      </c>
      <c r="I666" s="22"/>
      <c r="J666" s="155">
        <v>-1236717.49</v>
      </c>
      <c r="K666" s="22">
        <f t="shared" si="10"/>
        <v>0</v>
      </c>
    </row>
    <row r="667" spans="1:12" ht="15.95" customHeight="1" x14ac:dyDescent="0.2">
      <c r="A667" s="139">
        <v>2410101</v>
      </c>
      <c r="B667" s="480" t="s">
        <v>457</v>
      </c>
      <c r="C667" s="476"/>
      <c r="D667" s="476"/>
      <c r="E667" s="155">
        <v>-1236717.49</v>
      </c>
      <c r="F667" s="155">
        <v>0</v>
      </c>
      <c r="G667" s="22"/>
      <c r="H667" s="155">
        <v>0</v>
      </c>
      <c r="I667" s="22"/>
      <c r="J667" s="155">
        <v>-1236717.49</v>
      </c>
      <c r="K667" s="22">
        <f t="shared" si="10"/>
        <v>0</v>
      </c>
    </row>
    <row r="668" spans="1:12" ht="15.95" customHeight="1" x14ac:dyDescent="0.2">
      <c r="A668" s="139" t="s">
        <v>1121</v>
      </c>
      <c r="B668" s="480" t="s">
        <v>459</v>
      </c>
      <c r="C668" s="476"/>
      <c r="D668" s="476"/>
      <c r="E668" s="155">
        <v>-1236717.49</v>
      </c>
      <c r="F668" s="155">
        <v>0</v>
      </c>
      <c r="G668" s="22"/>
      <c r="H668" s="155">
        <v>0</v>
      </c>
      <c r="I668" s="22"/>
      <c r="J668" s="155">
        <v>-1236717.49</v>
      </c>
      <c r="K668" s="22">
        <f t="shared" si="10"/>
        <v>0</v>
      </c>
    </row>
    <row r="669" spans="1:12" ht="15.95" customHeight="1" x14ac:dyDescent="0.2">
      <c r="A669" s="139">
        <v>3</v>
      </c>
      <c r="B669" s="480" t="s">
        <v>1122</v>
      </c>
      <c r="C669" s="476"/>
      <c r="D669" s="476"/>
      <c r="E669" s="155">
        <v>0</v>
      </c>
      <c r="F669" s="155">
        <v>6546732.5899999999</v>
      </c>
      <c r="G669" s="22"/>
      <c r="H669" s="155">
        <v>50421521.490000002</v>
      </c>
      <c r="I669" s="22"/>
      <c r="J669" s="155">
        <v>-43874788.899999999</v>
      </c>
      <c r="K669" s="22">
        <f t="shared" si="10"/>
        <v>-43874788.899999999</v>
      </c>
      <c r="L669" s="22">
        <f>K669-K679-K696</f>
        <v>-38635422.990000002</v>
      </c>
    </row>
    <row r="670" spans="1:12" ht="15.95" customHeight="1" x14ac:dyDescent="0.2">
      <c r="A670" s="139">
        <v>31</v>
      </c>
      <c r="B670" s="480" t="s">
        <v>1123</v>
      </c>
      <c r="C670" s="476"/>
      <c r="D670" s="476"/>
      <c r="E670" s="155">
        <v>0</v>
      </c>
      <c r="F670" s="155">
        <v>0</v>
      </c>
      <c r="G670" s="22"/>
      <c r="H670" s="155">
        <v>50417821.490000002</v>
      </c>
      <c r="I670" s="22"/>
      <c r="J670" s="155">
        <v>-50417821.490000002</v>
      </c>
      <c r="K670" s="22">
        <f t="shared" si="10"/>
        <v>-50417821.490000002</v>
      </c>
    </row>
    <row r="671" spans="1:12" ht="15.95" customHeight="1" x14ac:dyDescent="0.2">
      <c r="A671" s="139">
        <v>311</v>
      </c>
      <c r="B671" s="480" t="s">
        <v>1124</v>
      </c>
      <c r="C671" s="476"/>
      <c r="D671" s="476"/>
      <c r="E671" s="155">
        <v>0</v>
      </c>
      <c r="F671" s="155">
        <v>0</v>
      </c>
      <c r="G671" s="22"/>
      <c r="H671" s="155">
        <v>50417821.490000002</v>
      </c>
      <c r="I671" s="22"/>
      <c r="J671" s="155">
        <v>-50417821.490000002</v>
      </c>
      <c r="K671" s="22">
        <f t="shared" si="10"/>
        <v>-50417821.490000002</v>
      </c>
    </row>
    <row r="672" spans="1:12" ht="15.95" customHeight="1" x14ac:dyDescent="0.2">
      <c r="A672" s="139">
        <v>31101</v>
      </c>
      <c r="B672" s="480" t="s">
        <v>1125</v>
      </c>
      <c r="C672" s="476"/>
      <c r="D672" s="476"/>
      <c r="E672" s="155">
        <v>0</v>
      </c>
      <c r="F672" s="155">
        <v>0</v>
      </c>
      <c r="G672" s="22"/>
      <c r="H672" s="155">
        <v>45174518.399999999</v>
      </c>
      <c r="I672" s="22"/>
      <c r="J672" s="155">
        <v>-45174518.399999999</v>
      </c>
      <c r="K672" s="22">
        <f t="shared" si="10"/>
        <v>-45174518.399999999</v>
      </c>
    </row>
    <row r="673" spans="1:11" ht="15.95" customHeight="1" x14ac:dyDescent="0.2">
      <c r="A673" s="139">
        <v>3110101</v>
      </c>
      <c r="B673" s="480" t="s">
        <v>1126</v>
      </c>
      <c r="C673" s="476"/>
      <c r="D673" s="476"/>
      <c r="E673" s="155">
        <v>0</v>
      </c>
      <c r="F673" s="155">
        <v>0</v>
      </c>
      <c r="G673" s="22"/>
      <c r="H673" s="155">
        <v>45174518.399999999</v>
      </c>
      <c r="I673" s="22"/>
      <c r="J673" s="155">
        <v>-45174518.399999999</v>
      </c>
      <c r="K673" s="22">
        <f t="shared" si="10"/>
        <v>-45174518.399999999</v>
      </c>
    </row>
    <row r="674" spans="1:11" ht="15.95" customHeight="1" x14ac:dyDescent="0.2">
      <c r="A674" s="139" t="s">
        <v>1127</v>
      </c>
      <c r="B674" s="480" t="s">
        <v>1128</v>
      </c>
      <c r="C674" s="476"/>
      <c r="D674" s="476"/>
      <c r="E674" s="155">
        <v>0</v>
      </c>
      <c r="F674" s="155">
        <v>0</v>
      </c>
      <c r="G674" s="22"/>
      <c r="H674" s="155">
        <v>15525499.039999999</v>
      </c>
      <c r="I674" s="22"/>
      <c r="J674" s="155">
        <v>-15525499.039999999</v>
      </c>
      <c r="K674" s="22">
        <f t="shared" si="10"/>
        <v>-15525499.039999999</v>
      </c>
    </row>
    <row r="675" spans="1:11" ht="15.95" customHeight="1" x14ac:dyDescent="0.2">
      <c r="A675" s="139" t="s">
        <v>1129</v>
      </c>
      <c r="B675" s="480" t="s">
        <v>1130</v>
      </c>
      <c r="C675" s="476"/>
      <c r="D675" s="476"/>
      <c r="E675" s="155">
        <v>0</v>
      </c>
      <c r="F675" s="155">
        <v>0</v>
      </c>
      <c r="G675" s="22"/>
      <c r="H675" s="155">
        <v>2385750.77</v>
      </c>
      <c r="I675" s="22"/>
      <c r="J675" s="155">
        <v>-2385750.77</v>
      </c>
      <c r="K675" s="22">
        <f t="shared" si="10"/>
        <v>-2385750.77</v>
      </c>
    </row>
    <row r="676" spans="1:11" ht="15.95" customHeight="1" x14ac:dyDescent="0.2">
      <c r="A676" s="139" t="s">
        <v>1131</v>
      </c>
      <c r="B676" s="480" t="s">
        <v>1132</v>
      </c>
      <c r="C676" s="476"/>
      <c r="D676" s="476"/>
      <c r="E676" s="155">
        <v>0</v>
      </c>
      <c r="F676" s="155">
        <v>0</v>
      </c>
      <c r="G676" s="22"/>
      <c r="H676" s="155">
        <v>20310231.460000001</v>
      </c>
      <c r="I676" s="22"/>
      <c r="J676" s="155">
        <v>-20310231.460000001</v>
      </c>
      <c r="K676" s="22">
        <f t="shared" si="10"/>
        <v>-20310231.460000001</v>
      </c>
    </row>
    <row r="677" spans="1:11" ht="15.95" customHeight="1" x14ac:dyDescent="0.2">
      <c r="A677" s="139" t="s">
        <v>1133</v>
      </c>
      <c r="B677" s="480" t="s">
        <v>1134</v>
      </c>
      <c r="C677" s="476"/>
      <c r="D677" s="476"/>
      <c r="E677" s="155">
        <v>0</v>
      </c>
      <c r="F677" s="155">
        <v>0</v>
      </c>
      <c r="G677" s="22"/>
      <c r="H677" s="155">
        <v>1196415.0900000001</v>
      </c>
      <c r="I677" s="22"/>
      <c r="J677" s="155">
        <v>-1196415.0900000001</v>
      </c>
      <c r="K677" s="22">
        <f t="shared" si="10"/>
        <v>-1196415.0900000001</v>
      </c>
    </row>
    <row r="678" spans="1:11" ht="15.95" customHeight="1" x14ac:dyDescent="0.2">
      <c r="A678" s="139" t="s">
        <v>1135</v>
      </c>
      <c r="B678" s="480" t="s">
        <v>1136</v>
      </c>
      <c r="C678" s="476"/>
      <c r="D678" s="476"/>
      <c r="E678" s="155">
        <v>0</v>
      </c>
      <c r="F678" s="155">
        <v>0</v>
      </c>
      <c r="G678" s="22"/>
      <c r="H678" s="155">
        <v>5756622.04</v>
      </c>
      <c r="I678" s="22"/>
      <c r="J678" s="155">
        <v>-5756622.04</v>
      </c>
      <c r="K678" s="22">
        <f t="shared" si="10"/>
        <v>-5756622.04</v>
      </c>
    </row>
    <row r="679" spans="1:11" ht="15.95" customHeight="1" x14ac:dyDescent="0.2">
      <c r="A679" s="139">
        <v>31103</v>
      </c>
      <c r="B679" s="480" t="s">
        <v>1137</v>
      </c>
      <c r="C679" s="476"/>
      <c r="D679" s="476"/>
      <c r="E679" s="155">
        <v>0</v>
      </c>
      <c r="F679" s="155">
        <v>0</v>
      </c>
      <c r="G679" s="22"/>
      <c r="H679" s="155">
        <v>5243303.09</v>
      </c>
      <c r="I679" s="22"/>
      <c r="J679" s="155">
        <v>-5243303.09</v>
      </c>
      <c r="K679" s="22">
        <f t="shared" si="10"/>
        <v>-5243303.09</v>
      </c>
    </row>
    <row r="680" spans="1:11" ht="15.95" customHeight="1" x14ac:dyDescent="0.2">
      <c r="A680" s="139">
        <v>3110301</v>
      </c>
      <c r="B680" s="480" t="s">
        <v>1138</v>
      </c>
      <c r="C680" s="476"/>
      <c r="D680" s="476"/>
      <c r="E680" s="155">
        <v>0</v>
      </c>
      <c r="F680" s="155">
        <v>0</v>
      </c>
      <c r="G680" s="22"/>
      <c r="H680" s="155">
        <v>5243303.09</v>
      </c>
      <c r="I680" s="22"/>
      <c r="J680" s="155">
        <v>-5243303.09</v>
      </c>
      <c r="K680" s="22">
        <f t="shared" si="10"/>
        <v>-5243303.09</v>
      </c>
    </row>
    <row r="681" spans="1:11" ht="15.95" customHeight="1" x14ac:dyDescent="0.2">
      <c r="A681" s="139" t="s">
        <v>1139</v>
      </c>
      <c r="B681" s="480" t="s">
        <v>1140</v>
      </c>
      <c r="C681" s="476"/>
      <c r="D681" s="476"/>
      <c r="E681" s="155">
        <v>0</v>
      </c>
      <c r="F681" s="155">
        <v>0</v>
      </c>
      <c r="G681" s="22"/>
      <c r="H681" s="155">
        <v>5242303.09</v>
      </c>
      <c r="I681" s="22"/>
      <c r="J681" s="155">
        <v>-5242303.09</v>
      </c>
      <c r="K681" s="22">
        <f t="shared" si="10"/>
        <v>-5242303.09</v>
      </c>
    </row>
    <row r="682" spans="1:11" ht="15.95" customHeight="1" x14ac:dyDescent="0.2">
      <c r="A682" s="139" t="s">
        <v>1551</v>
      </c>
      <c r="B682" s="480" t="s">
        <v>1552</v>
      </c>
      <c r="C682" s="476"/>
      <c r="D682" s="476"/>
      <c r="E682" s="155">
        <v>0</v>
      </c>
      <c r="F682" s="155">
        <v>0</v>
      </c>
      <c r="G682" s="22"/>
      <c r="H682" s="155">
        <v>1000</v>
      </c>
      <c r="I682" s="22"/>
      <c r="J682" s="155">
        <v>-1000</v>
      </c>
      <c r="K682" s="22">
        <f t="shared" si="10"/>
        <v>-1000</v>
      </c>
    </row>
    <row r="683" spans="1:11" ht="15.95" customHeight="1" x14ac:dyDescent="0.2">
      <c r="A683" s="139">
        <v>32</v>
      </c>
      <c r="B683" s="480" t="s">
        <v>1141</v>
      </c>
      <c r="C683" s="476"/>
      <c r="D683" s="476"/>
      <c r="E683" s="155">
        <v>0</v>
      </c>
      <c r="F683" s="155">
        <v>6546732.5899999999</v>
      </c>
      <c r="G683" s="22"/>
      <c r="H683" s="155">
        <v>3700</v>
      </c>
      <c r="I683" s="22"/>
      <c r="J683" s="155">
        <v>6543032.5899999999</v>
      </c>
      <c r="K683" s="22">
        <f t="shared" si="10"/>
        <v>6543032.5899999999</v>
      </c>
    </row>
    <row r="684" spans="1:11" ht="15.95" customHeight="1" x14ac:dyDescent="0.2">
      <c r="A684" s="139">
        <v>321</v>
      </c>
      <c r="B684" s="480" t="s">
        <v>1124</v>
      </c>
      <c r="C684" s="476"/>
      <c r="D684" s="476"/>
      <c r="E684" s="155">
        <v>0</v>
      </c>
      <c r="F684" s="155">
        <v>6546732.5899999999</v>
      </c>
      <c r="G684" s="22"/>
      <c r="H684" s="155">
        <v>3700</v>
      </c>
      <c r="I684" s="22"/>
      <c r="J684" s="155">
        <v>6543032.5899999999</v>
      </c>
      <c r="K684" s="22">
        <f t="shared" si="10"/>
        <v>6543032.5899999999</v>
      </c>
    </row>
    <row r="685" spans="1:11" ht="15.95" customHeight="1" x14ac:dyDescent="0.2">
      <c r="A685" s="139">
        <v>32101</v>
      </c>
      <c r="B685" s="480" t="s">
        <v>1142</v>
      </c>
      <c r="C685" s="476"/>
      <c r="D685" s="476"/>
      <c r="E685" s="155">
        <v>0</v>
      </c>
      <c r="F685" s="155">
        <v>6546732.5899999999</v>
      </c>
      <c r="G685" s="22"/>
      <c r="H685" s="155">
        <v>3700</v>
      </c>
      <c r="I685" s="22"/>
      <c r="J685" s="155">
        <v>6543032.5899999999</v>
      </c>
      <c r="K685" s="22">
        <f t="shared" si="10"/>
        <v>6543032.5899999999</v>
      </c>
    </row>
    <row r="686" spans="1:11" ht="15.95" customHeight="1" x14ac:dyDescent="0.2">
      <c r="A686" s="139">
        <v>3210101</v>
      </c>
      <c r="B686" s="480" t="s">
        <v>1143</v>
      </c>
      <c r="C686" s="476"/>
      <c r="D686" s="476"/>
      <c r="E686" s="155">
        <v>0</v>
      </c>
      <c r="F686" s="155">
        <v>5101114.1100000003</v>
      </c>
      <c r="G686" s="22"/>
      <c r="H686" s="155">
        <v>3700</v>
      </c>
      <c r="I686" s="22"/>
      <c r="J686" s="155">
        <v>5097414.1100000003</v>
      </c>
      <c r="K686" s="22">
        <f t="shared" si="10"/>
        <v>5097414.1100000003</v>
      </c>
    </row>
    <row r="687" spans="1:11" ht="15.95" customHeight="1" x14ac:dyDescent="0.2">
      <c r="A687" s="139" t="s">
        <v>1144</v>
      </c>
      <c r="B687" s="480" t="s">
        <v>1145</v>
      </c>
      <c r="C687" s="476"/>
      <c r="D687" s="476"/>
      <c r="E687" s="155">
        <v>0</v>
      </c>
      <c r="F687" s="155">
        <v>519702.9</v>
      </c>
      <c r="G687" s="22"/>
      <c r="H687" s="155">
        <v>660</v>
      </c>
      <c r="I687" s="22"/>
      <c r="J687" s="155">
        <v>519042.9</v>
      </c>
      <c r="K687" s="22">
        <f t="shared" si="10"/>
        <v>519042.9</v>
      </c>
    </row>
    <row r="688" spans="1:11" ht="15.95" customHeight="1" x14ac:dyDescent="0.2">
      <c r="A688" s="139" t="s">
        <v>1146</v>
      </c>
      <c r="B688" s="480" t="s">
        <v>1147</v>
      </c>
      <c r="C688" s="476"/>
      <c r="D688" s="476"/>
      <c r="E688" s="155">
        <v>0</v>
      </c>
      <c r="F688" s="155">
        <v>2402945.92</v>
      </c>
      <c r="G688" s="22"/>
      <c r="H688" s="155">
        <v>3040</v>
      </c>
      <c r="I688" s="22"/>
      <c r="J688" s="155">
        <v>2399905.92</v>
      </c>
      <c r="K688" s="22">
        <f t="shared" si="10"/>
        <v>2399905.92</v>
      </c>
    </row>
    <row r="689" spans="1:11" ht="15.95" customHeight="1" x14ac:dyDescent="0.2">
      <c r="A689" s="139" t="s">
        <v>1148</v>
      </c>
      <c r="B689" s="480" t="s">
        <v>1149</v>
      </c>
      <c r="C689" s="476"/>
      <c r="D689" s="476"/>
      <c r="E689" s="155">
        <v>0</v>
      </c>
      <c r="F689" s="155">
        <v>2178465.29</v>
      </c>
      <c r="G689" s="22"/>
      <c r="H689" s="155">
        <v>0</v>
      </c>
      <c r="I689" s="22"/>
      <c r="J689" s="155">
        <v>2178465.29</v>
      </c>
      <c r="K689" s="22">
        <f t="shared" si="10"/>
        <v>2178465.29</v>
      </c>
    </row>
    <row r="690" spans="1:11" ht="15.95" customHeight="1" x14ac:dyDescent="0.2">
      <c r="A690" s="139">
        <v>3210102</v>
      </c>
      <c r="B690" s="480" t="s">
        <v>1150</v>
      </c>
      <c r="C690" s="476"/>
      <c r="D690" s="476"/>
      <c r="E690" s="155">
        <v>0</v>
      </c>
      <c r="F690" s="155">
        <v>1445618.48</v>
      </c>
      <c r="G690" s="22"/>
      <c r="H690" s="155">
        <v>0</v>
      </c>
      <c r="I690" s="22"/>
      <c r="J690" s="155">
        <v>1445618.48</v>
      </c>
      <c r="K690" s="22">
        <f t="shared" si="10"/>
        <v>1445618.48</v>
      </c>
    </row>
    <row r="691" spans="1:11" ht="15.95" customHeight="1" x14ac:dyDescent="0.2">
      <c r="A691" s="139" t="s">
        <v>1151</v>
      </c>
      <c r="B691" s="480" t="s">
        <v>1152</v>
      </c>
      <c r="C691" s="476"/>
      <c r="D691" s="476"/>
      <c r="E691" s="155">
        <v>0</v>
      </c>
      <c r="F691" s="155">
        <v>344161.68</v>
      </c>
      <c r="G691" s="22"/>
      <c r="H691" s="155">
        <v>0</v>
      </c>
      <c r="I691" s="22"/>
      <c r="J691" s="155">
        <v>344161.68</v>
      </c>
      <c r="K691" s="22">
        <f t="shared" si="10"/>
        <v>344161.68</v>
      </c>
    </row>
    <row r="692" spans="1:11" ht="15.95" customHeight="1" x14ac:dyDescent="0.2">
      <c r="A692" s="139" t="s">
        <v>1153</v>
      </c>
      <c r="B692" s="480" t="s">
        <v>1154</v>
      </c>
      <c r="C692" s="476"/>
      <c r="D692" s="476"/>
      <c r="E692" s="155">
        <v>0</v>
      </c>
      <c r="F692" s="155">
        <v>72887.53</v>
      </c>
      <c r="G692" s="22"/>
      <c r="H692" s="155">
        <v>0</v>
      </c>
      <c r="I692" s="22"/>
      <c r="J692" s="155">
        <v>72887.53</v>
      </c>
      <c r="K692" s="22">
        <f t="shared" si="10"/>
        <v>72887.53</v>
      </c>
    </row>
    <row r="693" spans="1:11" ht="15.95" customHeight="1" x14ac:dyDescent="0.2">
      <c r="A693" s="139" t="s">
        <v>1155</v>
      </c>
      <c r="B693" s="480" t="s">
        <v>1156</v>
      </c>
      <c r="C693" s="476"/>
      <c r="D693" s="476"/>
      <c r="E693" s="155">
        <v>0</v>
      </c>
      <c r="F693" s="155">
        <v>691514.94</v>
      </c>
      <c r="G693" s="22"/>
      <c r="H693" s="155">
        <v>0</v>
      </c>
      <c r="I693" s="22"/>
      <c r="J693" s="155">
        <v>691514.94</v>
      </c>
      <c r="K693" s="22">
        <f t="shared" si="10"/>
        <v>691514.94</v>
      </c>
    </row>
    <row r="694" spans="1:11" ht="15.95" customHeight="1" x14ac:dyDescent="0.2">
      <c r="A694" s="139" t="s">
        <v>1157</v>
      </c>
      <c r="B694" s="480" t="s">
        <v>1134</v>
      </c>
      <c r="C694" s="476"/>
      <c r="D694" s="476"/>
      <c r="E694" s="155">
        <v>0</v>
      </c>
      <c r="F694" s="155">
        <v>104102.97</v>
      </c>
      <c r="G694" s="22"/>
      <c r="H694" s="155">
        <v>0</v>
      </c>
      <c r="I694" s="22"/>
      <c r="J694" s="155">
        <v>104102.97</v>
      </c>
      <c r="K694" s="22">
        <f t="shared" si="10"/>
        <v>104102.97</v>
      </c>
    </row>
    <row r="695" spans="1:11" ht="15.95" customHeight="1" x14ac:dyDescent="0.2">
      <c r="A695" s="139" t="s">
        <v>1158</v>
      </c>
      <c r="B695" s="480" t="s">
        <v>1136</v>
      </c>
      <c r="C695" s="476"/>
      <c r="D695" s="476"/>
      <c r="E695" s="155">
        <v>0</v>
      </c>
      <c r="F695" s="155">
        <v>229014.18</v>
      </c>
      <c r="G695" s="22"/>
      <c r="H695" s="155">
        <v>0</v>
      </c>
      <c r="I695" s="22"/>
      <c r="J695" s="155">
        <v>229014.18</v>
      </c>
      <c r="K695" s="22">
        <f t="shared" si="10"/>
        <v>229014.18</v>
      </c>
    </row>
    <row r="696" spans="1:11" ht="15.95" customHeight="1" x14ac:dyDescent="0.2">
      <c r="A696" s="139" t="s">
        <v>1159</v>
      </c>
      <c r="B696" s="480" t="s">
        <v>1140</v>
      </c>
      <c r="C696" s="476"/>
      <c r="D696" s="476"/>
      <c r="E696" s="155">
        <v>0</v>
      </c>
      <c r="F696" s="155">
        <v>3937.18</v>
      </c>
      <c r="G696" s="22"/>
      <c r="H696" s="155">
        <v>0</v>
      </c>
      <c r="I696" s="22"/>
      <c r="J696" s="155">
        <v>3937.18</v>
      </c>
      <c r="K696" s="22">
        <f t="shared" si="10"/>
        <v>3937.18</v>
      </c>
    </row>
    <row r="697" spans="1:11" ht="15.95" customHeight="1" x14ac:dyDescent="0.2">
      <c r="A697" s="139">
        <v>4</v>
      </c>
      <c r="B697" s="480" t="s">
        <v>1160</v>
      </c>
      <c r="C697" s="476"/>
      <c r="D697" s="476"/>
      <c r="E697" s="155">
        <v>0</v>
      </c>
      <c r="F697" s="155">
        <v>31651348.829999998</v>
      </c>
      <c r="G697" s="22"/>
      <c r="H697" s="155">
        <v>1944640.41</v>
      </c>
      <c r="I697" s="22"/>
      <c r="J697" s="155">
        <v>29706708.420000002</v>
      </c>
      <c r="K697" s="22">
        <f t="shared" si="10"/>
        <v>29706708.420000002</v>
      </c>
    </row>
    <row r="698" spans="1:11" ht="15.95" customHeight="1" x14ac:dyDescent="0.2">
      <c r="A698" s="139">
        <v>41</v>
      </c>
      <c r="B698" s="480" t="s">
        <v>1161</v>
      </c>
      <c r="C698" s="476"/>
      <c r="D698" s="476"/>
      <c r="E698" s="155">
        <v>0</v>
      </c>
      <c r="F698" s="155">
        <v>31651348.829999998</v>
      </c>
      <c r="G698" s="22"/>
      <c r="H698" s="155">
        <v>1944640.41</v>
      </c>
      <c r="I698" s="22"/>
      <c r="J698" s="155">
        <v>29706708.420000002</v>
      </c>
      <c r="K698" s="22">
        <f t="shared" si="10"/>
        <v>29706708.420000002</v>
      </c>
    </row>
    <row r="699" spans="1:11" ht="15.95" customHeight="1" x14ac:dyDescent="0.2">
      <c r="A699" s="139">
        <v>411</v>
      </c>
      <c r="B699" s="480" t="s">
        <v>1161</v>
      </c>
      <c r="C699" s="476"/>
      <c r="D699" s="476"/>
      <c r="E699" s="155">
        <v>0</v>
      </c>
      <c r="F699" s="155">
        <v>31651348.829999998</v>
      </c>
      <c r="G699" s="22"/>
      <c r="H699" s="155">
        <v>1944640.41</v>
      </c>
      <c r="I699" s="22"/>
      <c r="J699" s="155">
        <v>29706708.420000002</v>
      </c>
      <c r="K699" s="22">
        <f t="shared" si="10"/>
        <v>29706708.420000002</v>
      </c>
    </row>
    <row r="700" spans="1:11" ht="15.95" customHeight="1" x14ac:dyDescent="0.2">
      <c r="A700" s="139">
        <v>41101</v>
      </c>
      <c r="B700" s="480" t="s">
        <v>1161</v>
      </c>
      <c r="C700" s="476"/>
      <c r="D700" s="476"/>
      <c r="E700" s="155">
        <v>0</v>
      </c>
      <c r="F700" s="155">
        <v>31651348.829999998</v>
      </c>
      <c r="G700" s="22"/>
      <c r="H700" s="155">
        <v>1944640.41</v>
      </c>
      <c r="I700" s="22"/>
      <c r="J700" s="155">
        <v>29706708.420000002</v>
      </c>
      <c r="K700" s="22">
        <f t="shared" si="10"/>
        <v>29706708.420000002</v>
      </c>
    </row>
    <row r="701" spans="1:11" ht="15.95" customHeight="1" x14ac:dyDescent="0.2">
      <c r="A701" s="139">
        <v>4110101</v>
      </c>
      <c r="B701" s="480" t="s">
        <v>1162</v>
      </c>
      <c r="C701" s="476"/>
      <c r="D701" s="476"/>
      <c r="E701" s="155">
        <v>0</v>
      </c>
      <c r="F701" s="155">
        <v>9030524.5</v>
      </c>
      <c r="G701" s="22"/>
      <c r="H701" s="155">
        <v>711668.15</v>
      </c>
      <c r="I701" s="22"/>
      <c r="J701" s="155">
        <v>8318856.3499999996</v>
      </c>
      <c r="K701" s="22">
        <f t="shared" si="10"/>
        <v>8318856.3499999996</v>
      </c>
    </row>
    <row r="702" spans="1:11" ht="15.95" customHeight="1" x14ac:dyDescent="0.2">
      <c r="A702" s="139" t="s">
        <v>1163</v>
      </c>
      <c r="B702" s="480" t="s">
        <v>1164</v>
      </c>
      <c r="C702" s="476"/>
      <c r="D702" s="476"/>
      <c r="E702" s="155">
        <v>0</v>
      </c>
      <c r="F702" s="155">
        <v>2065189.08</v>
      </c>
      <c r="G702" s="22"/>
      <c r="H702" s="155">
        <v>84832.68</v>
      </c>
      <c r="I702" s="22"/>
      <c r="J702" s="155">
        <v>1980356.4</v>
      </c>
      <c r="K702" s="22">
        <f t="shared" si="10"/>
        <v>1980356.4</v>
      </c>
    </row>
    <row r="703" spans="1:11" ht="15.95" customHeight="1" x14ac:dyDescent="0.2">
      <c r="A703" s="139" t="s">
        <v>1165</v>
      </c>
      <c r="B703" s="480" t="s">
        <v>1166</v>
      </c>
      <c r="C703" s="476"/>
      <c r="D703" s="476"/>
      <c r="E703" s="155">
        <v>0</v>
      </c>
      <c r="F703" s="155">
        <v>834262.6</v>
      </c>
      <c r="G703" s="22"/>
      <c r="H703" s="155">
        <v>324.08999999999997</v>
      </c>
      <c r="I703" s="22"/>
      <c r="J703" s="155">
        <v>833938.51</v>
      </c>
      <c r="K703" s="22">
        <f t="shared" si="10"/>
        <v>833938.51</v>
      </c>
    </row>
    <row r="704" spans="1:11" ht="27.95" customHeight="1" x14ac:dyDescent="0.2">
      <c r="A704" s="139" t="s">
        <v>1167</v>
      </c>
      <c r="B704" s="480" t="s">
        <v>1168</v>
      </c>
      <c r="C704" s="476"/>
      <c r="D704" s="476"/>
      <c r="E704" s="155">
        <v>0</v>
      </c>
      <c r="F704" s="155">
        <v>337884.51</v>
      </c>
      <c r="G704" s="22"/>
      <c r="H704" s="155">
        <v>0</v>
      </c>
      <c r="I704" s="22"/>
      <c r="J704" s="155">
        <v>337884.51</v>
      </c>
      <c r="K704" s="22">
        <f t="shared" si="10"/>
        <v>337884.51</v>
      </c>
    </row>
    <row r="705" spans="1:11" ht="15.95" customHeight="1" x14ac:dyDescent="0.2">
      <c r="A705" s="139" t="s">
        <v>1169</v>
      </c>
      <c r="B705" s="480" t="s">
        <v>1170</v>
      </c>
      <c r="C705" s="476"/>
      <c r="D705" s="476"/>
      <c r="E705" s="155">
        <v>0</v>
      </c>
      <c r="F705" s="155">
        <v>166648.13</v>
      </c>
      <c r="G705" s="22"/>
      <c r="H705" s="155">
        <v>19.84</v>
      </c>
      <c r="I705" s="22"/>
      <c r="J705" s="155">
        <v>166628.29</v>
      </c>
      <c r="K705" s="22">
        <f t="shared" si="10"/>
        <v>166628.29</v>
      </c>
    </row>
    <row r="706" spans="1:11" ht="15.95" customHeight="1" x14ac:dyDescent="0.2">
      <c r="A706" s="139" t="s">
        <v>1171</v>
      </c>
      <c r="B706" s="480" t="s">
        <v>1172</v>
      </c>
      <c r="C706" s="476"/>
      <c r="D706" s="476"/>
      <c r="E706" s="155">
        <v>0</v>
      </c>
      <c r="F706" s="155">
        <v>579365.93999999994</v>
      </c>
      <c r="G706" s="22"/>
      <c r="H706" s="155">
        <v>264102.26</v>
      </c>
      <c r="I706" s="22"/>
      <c r="J706" s="155">
        <v>315263.68</v>
      </c>
      <c r="K706" s="22">
        <f t="shared" si="10"/>
        <v>315263.68</v>
      </c>
    </row>
    <row r="707" spans="1:11" ht="15.95" customHeight="1" x14ac:dyDescent="0.2">
      <c r="A707" s="139" t="s">
        <v>1173</v>
      </c>
      <c r="B707" s="480" t="s">
        <v>1174</v>
      </c>
      <c r="C707" s="476"/>
      <c r="D707" s="476"/>
      <c r="E707" s="155">
        <v>0</v>
      </c>
      <c r="F707" s="155">
        <v>365010.96</v>
      </c>
      <c r="G707" s="22"/>
      <c r="H707" s="155">
        <v>21098.62</v>
      </c>
      <c r="I707" s="22"/>
      <c r="J707" s="155">
        <v>343912.34</v>
      </c>
      <c r="K707" s="22">
        <f t="shared" si="10"/>
        <v>343912.34</v>
      </c>
    </row>
    <row r="708" spans="1:11" ht="15.95" customHeight="1" x14ac:dyDescent="0.2">
      <c r="A708" s="139" t="s">
        <v>1175</v>
      </c>
      <c r="B708" s="480" t="s">
        <v>1176</v>
      </c>
      <c r="C708" s="476"/>
      <c r="D708" s="476"/>
      <c r="E708" s="155">
        <v>0</v>
      </c>
      <c r="F708" s="155">
        <v>1555382.34</v>
      </c>
      <c r="G708" s="22"/>
      <c r="H708" s="155">
        <v>63984.31</v>
      </c>
      <c r="I708" s="22"/>
      <c r="J708" s="155">
        <v>1491398.03</v>
      </c>
      <c r="K708" s="22">
        <f t="shared" ref="K708:K771" si="11">J708-E708</f>
        <v>1491398.03</v>
      </c>
    </row>
    <row r="709" spans="1:11" ht="15.95" customHeight="1" x14ac:dyDescent="0.2">
      <c r="A709" s="139" t="s">
        <v>1177</v>
      </c>
      <c r="B709" s="480" t="s">
        <v>1178</v>
      </c>
      <c r="C709" s="476"/>
      <c r="D709" s="476"/>
      <c r="E709" s="155">
        <v>0</v>
      </c>
      <c r="F709" s="155">
        <v>720664.3</v>
      </c>
      <c r="G709" s="22"/>
      <c r="H709" s="155">
        <v>19178.11</v>
      </c>
      <c r="I709" s="22"/>
      <c r="J709" s="155">
        <v>701486.19</v>
      </c>
      <c r="K709" s="22">
        <f t="shared" si="11"/>
        <v>701486.19</v>
      </c>
    </row>
    <row r="710" spans="1:11" ht="15.95" customHeight="1" x14ac:dyDescent="0.2">
      <c r="A710" s="139" t="s">
        <v>1179</v>
      </c>
      <c r="B710" s="480" t="s">
        <v>1180</v>
      </c>
      <c r="C710" s="476"/>
      <c r="D710" s="476"/>
      <c r="E710" s="155">
        <v>0</v>
      </c>
      <c r="F710" s="155">
        <v>458258.14</v>
      </c>
      <c r="G710" s="22"/>
      <c r="H710" s="155">
        <v>14738.47</v>
      </c>
      <c r="I710" s="22"/>
      <c r="J710" s="155">
        <v>443519.67</v>
      </c>
      <c r="K710" s="22">
        <f t="shared" si="11"/>
        <v>443519.67</v>
      </c>
    </row>
    <row r="711" spans="1:11" ht="15.95" customHeight="1" x14ac:dyDescent="0.2">
      <c r="A711" s="139" t="s">
        <v>1181</v>
      </c>
      <c r="B711" s="480" t="s">
        <v>1182</v>
      </c>
      <c r="C711" s="476"/>
      <c r="D711" s="476"/>
      <c r="E711" s="155">
        <v>0</v>
      </c>
      <c r="F711" s="155">
        <v>521165.09</v>
      </c>
      <c r="G711" s="22"/>
      <c r="H711" s="155">
        <v>180191.87</v>
      </c>
      <c r="I711" s="22"/>
      <c r="J711" s="155">
        <v>340973.22</v>
      </c>
      <c r="K711" s="22">
        <f t="shared" si="11"/>
        <v>340973.22</v>
      </c>
    </row>
    <row r="712" spans="1:11" ht="15.95" customHeight="1" x14ac:dyDescent="0.2">
      <c r="A712" s="139" t="s">
        <v>1183</v>
      </c>
      <c r="B712" s="480" t="s">
        <v>1184</v>
      </c>
      <c r="C712" s="476"/>
      <c r="D712" s="476"/>
      <c r="E712" s="155">
        <v>0</v>
      </c>
      <c r="F712" s="155">
        <v>10760.02</v>
      </c>
      <c r="G712" s="22"/>
      <c r="H712" s="155">
        <v>4259.76</v>
      </c>
      <c r="I712" s="22"/>
      <c r="J712" s="155">
        <v>6500.26</v>
      </c>
      <c r="K712" s="22">
        <f t="shared" si="11"/>
        <v>6500.26</v>
      </c>
    </row>
    <row r="713" spans="1:11" ht="15.95" customHeight="1" x14ac:dyDescent="0.2">
      <c r="A713" s="139" t="s">
        <v>1185</v>
      </c>
      <c r="B713" s="480" t="s">
        <v>1186</v>
      </c>
      <c r="C713" s="476"/>
      <c r="D713" s="476"/>
      <c r="E713" s="155">
        <v>0</v>
      </c>
      <c r="F713" s="155">
        <v>427676.15</v>
      </c>
      <c r="G713" s="22"/>
      <c r="H713" s="155">
        <v>27254.58</v>
      </c>
      <c r="I713" s="22"/>
      <c r="J713" s="155">
        <v>400421.57</v>
      </c>
      <c r="K713" s="22">
        <f t="shared" si="11"/>
        <v>400421.57</v>
      </c>
    </row>
    <row r="714" spans="1:11" ht="15.95" customHeight="1" x14ac:dyDescent="0.2">
      <c r="A714" s="139" t="s">
        <v>1851</v>
      </c>
      <c r="B714" s="480" t="s">
        <v>1257</v>
      </c>
      <c r="C714" s="476"/>
      <c r="D714" s="476"/>
      <c r="E714" s="155">
        <v>0</v>
      </c>
      <c r="F714" s="155">
        <v>80065.03</v>
      </c>
      <c r="G714" s="22"/>
      <c r="H714" s="155">
        <v>0</v>
      </c>
      <c r="I714" s="22"/>
      <c r="J714" s="155">
        <v>80065.03</v>
      </c>
      <c r="K714" s="22">
        <f t="shared" si="11"/>
        <v>80065.03</v>
      </c>
    </row>
    <row r="715" spans="1:11" ht="15.95" customHeight="1" x14ac:dyDescent="0.2">
      <c r="A715" s="139" t="s">
        <v>1187</v>
      </c>
      <c r="B715" s="480" t="s">
        <v>1188</v>
      </c>
      <c r="C715" s="476"/>
      <c r="D715" s="476"/>
      <c r="E715" s="155">
        <v>0</v>
      </c>
      <c r="F715" s="155">
        <v>113574</v>
      </c>
      <c r="G715" s="22"/>
      <c r="H715" s="155">
        <v>6307.5</v>
      </c>
      <c r="I715" s="22"/>
      <c r="J715" s="155">
        <v>107266.5</v>
      </c>
      <c r="K715" s="22">
        <f t="shared" si="11"/>
        <v>107266.5</v>
      </c>
    </row>
    <row r="716" spans="1:11" ht="15.95" customHeight="1" x14ac:dyDescent="0.2">
      <c r="A716" s="139" t="s">
        <v>1189</v>
      </c>
      <c r="B716" s="480" t="s">
        <v>1190</v>
      </c>
      <c r="C716" s="476"/>
      <c r="D716" s="476"/>
      <c r="E716" s="155">
        <v>0</v>
      </c>
      <c r="F716" s="155">
        <v>1229.7</v>
      </c>
      <c r="G716" s="22"/>
      <c r="H716" s="155">
        <v>0</v>
      </c>
      <c r="I716" s="22"/>
      <c r="J716" s="155">
        <v>1229.7</v>
      </c>
      <c r="K716" s="22">
        <f t="shared" si="11"/>
        <v>1229.7</v>
      </c>
    </row>
    <row r="717" spans="1:11" ht="15.95" customHeight="1" x14ac:dyDescent="0.2">
      <c r="A717" s="139" t="s">
        <v>1191</v>
      </c>
      <c r="B717" s="480" t="s">
        <v>1192</v>
      </c>
      <c r="C717" s="476"/>
      <c r="D717" s="476"/>
      <c r="E717" s="155">
        <v>0</v>
      </c>
      <c r="F717" s="155">
        <v>7363.46</v>
      </c>
      <c r="G717" s="22"/>
      <c r="H717" s="155">
        <v>1649.7</v>
      </c>
      <c r="I717" s="22"/>
      <c r="J717" s="155">
        <v>5713.76</v>
      </c>
      <c r="K717" s="22">
        <f t="shared" si="11"/>
        <v>5713.76</v>
      </c>
    </row>
    <row r="718" spans="1:11" ht="15.95" customHeight="1" x14ac:dyDescent="0.2">
      <c r="A718" s="139" t="s">
        <v>1193</v>
      </c>
      <c r="B718" s="480" t="s">
        <v>1194</v>
      </c>
      <c r="C718" s="476"/>
      <c r="D718" s="476"/>
      <c r="E718" s="155">
        <v>0</v>
      </c>
      <c r="F718" s="155">
        <v>75865.31</v>
      </c>
      <c r="G718" s="22"/>
      <c r="H718" s="155">
        <v>0</v>
      </c>
      <c r="I718" s="22"/>
      <c r="J718" s="155">
        <v>75865.31</v>
      </c>
      <c r="K718" s="22">
        <f t="shared" si="11"/>
        <v>75865.31</v>
      </c>
    </row>
    <row r="719" spans="1:11" ht="15.95" customHeight="1" x14ac:dyDescent="0.2">
      <c r="A719" s="139" t="s">
        <v>1195</v>
      </c>
      <c r="B719" s="480" t="s">
        <v>1196</v>
      </c>
      <c r="C719" s="476"/>
      <c r="D719" s="476"/>
      <c r="E719" s="155">
        <v>0</v>
      </c>
      <c r="F719" s="155">
        <v>20530.560000000001</v>
      </c>
      <c r="G719" s="22"/>
      <c r="H719" s="155">
        <v>5597.21</v>
      </c>
      <c r="I719" s="22"/>
      <c r="J719" s="155">
        <v>14933.35</v>
      </c>
      <c r="K719" s="22">
        <f t="shared" si="11"/>
        <v>14933.35</v>
      </c>
    </row>
    <row r="720" spans="1:11" ht="15.95" customHeight="1" x14ac:dyDescent="0.2">
      <c r="A720" s="139" t="s">
        <v>1852</v>
      </c>
      <c r="B720" s="480" t="s">
        <v>1853</v>
      </c>
      <c r="C720" s="476"/>
      <c r="D720" s="476"/>
      <c r="E720" s="155">
        <v>0</v>
      </c>
      <c r="F720" s="155">
        <v>8414.24</v>
      </c>
      <c r="G720" s="22"/>
      <c r="H720" s="155">
        <v>0</v>
      </c>
      <c r="I720" s="22"/>
      <c r="J720" s="155">
        <v>8414.24</v>
      </c>
      <c r="K720" s="22">
        <f t="shared" si="11"/>
        <v>8414.24</v>
      </c>
    </row>
    <row r="721" spans="1:11" ht="15.95" customHeight="1" x14ac:dyDescent="0.2">
      <c r="A721" s="139" t="s">
        <v>1197</v>
      </c>
      <c r="B721" s="480" t="s">
        <v>1198</v>
      </c>
      <c r="C721" s="476"/>
      <c r="D721" s="476"/>
      <c r="E721" s="155">
        <v>0</v>
      </c>
      <c r="F721" s="155">
        <v>471908.48</v>
      </c>
      <c r="G721" s="22"/>
      <c r="H721" s="155">
        <v>18129.150000000001</v>
      </c>
      <c r="I721" s="22"/>
      <c r="J721" s="155">
        <v>453779.33</v>
      </c>
      <c r="K721" s="22">
        <f t="shared" si="11"/>
        <v>453779.33</v>
      </c>
    </row>
    <row r="722" spans="1:11" ht="15.95" customHeight="1" x14ac:dyDescent="0.2">
      <c r="A722" s="139" t="s">
        <v>1199</v>
      </c>
      <c r="B722" s="480" t="s">
        <v>1200</v>
      </c>
      <c r="C722" s="476"/>
      <c r="D722" s="476"/>
      <c r="E722" s="155">
        <v>0</v>
      </c>
      <c r="F722" s="155">
        <v>209306.46</v>
      </c>
      <c r="G722" s="22"/>
      <c r="H722" s="155">
        <v>0</v>
      </c>
      <c r="I722" s="22"/>
      <c r="J722" s="155">
        <v>209306.46</v>
      </c>
      <c r="K722" s="22">
        <f t="shared" si="11"/>
        <v>209306.46</v>
      </c>
    </row>
    <row r="723" spans="1:11" ht="15.95" customHeight="1" x14ac:dyDescent="0.2">
      <c r="A723" s="139">
        <v>4110103</v>
      </c>
      <c r="B723" s="480" t="s">
        <v>1201</v>
      </c>
      <c r="C723" s="476"/>
      <c r="D723" s="476"/>
      <c r="E723" s="155">
        <v>0</v>
      </c>
      <c r="F723" s="155">
        <v>8323797.46</v>
      </c>
      <c r="G723" s="22"/>
      <c r="H723" s="155">
        <v>479885.77</v>
      </c>
      <c r="I723" s="22"/>
      <c r="J723" s="155">
        <v>7843911.6900000004</v>
      </c>
      <c r="K723" s="22">
        <f t="shared" si="11"/>
        <v>7843911.6900000004</v>
      </c>
    </row>
    <row r="724" spans="1:11" ht="15.95" customHeight="1" x14ac:dyDescent="0.2">
      <c r="A724" s="139" t="s">
        <v>1202</v>
      </c>
      <c r="B724" s="480" t="s">
        <v>1203</v>
      </c>
      <c r="C724" s="476"/>
      <c r="D724" s="476"/>
      <c r="E724" s="155">
        <v>0</v>
      </c>
      <c r="F724" s="155">
        <v>420795.58</v>
      </c>
      <c r="G724" s="22"/>
      <c r="H724" s="155">
        <v>397905.58</v>
      </c>
      <c r="I724" s="22"/>
      <c r="J724" s="155">
        <v>22890</v>
      </c>
      <c r="K724" s="22">
        <f t="shared" si="11"/>
        <v>22890</v>
      </c>
    </row>
    <row r="725" spans="1:11" ht="15.95" customHeight="1" x14ac:dyDescent="0.2">
      <c r="A725" s="139" t="s">
        <v>1204</v>
      </c>
      <c r="B725" s="480" t="s">
        <v>1205</v>
      </c>
      <c r="C725" s="476"/>
      <c r="D725" s="476"/>
      <c r="E725" s="155">
        <v>0</v>
      </c>
      <c r="F725" s="155">
        <v>123565.69</v>
      </c>
      <c r="G725" s="22"/>
      <c r="H725" s="155">
        <v>0</v>
      </c>
      <c r="I725" s="22"/>
      <c r="J725" s="155">
        <v>123565.69</v>
      </c>
      <c r="K725" s="22">
        <f t="shared" si="11"/>
        <v>123565.69</v>
      </c>
    </row>
    <row r="726" spans="1:11" ht="15.95" customHeight="1" x14ac:dyDescent="0.2">
      <c r="A726" s="139" t="s">
        <v>1206</v>
      </c>
      <c r="B726" s="480" t="s">
        <v>1207</v>
      </c>
      <c r="C726" s="476"/>
      <c r="D726" s="476"/>
      <c r="E726" s="155">
        <v>0</v>
      </c>
      <c r="F726" s="155">
        <v>998052.43</v>
      </c>
      <c r="G726" s="22"/>
      <c r="H726" s="155">
        <v>0</v>
      </c>
      <c r="I726" s="22"/>
      <c r="J726" s="155">
        <v>998052.43</v>
      </c>
      <c r="K726" s="22">
        <f t="shared" si="11"/>
        <v>998052.43</v>
      </c>
    </row>
    <row r="727" spans="1:11" ht="15.95" customHeight="1" x14ac:dyDescent="0.2">
      <c r="A727" s="139" t="s">
        <v>1208</v>
      </c>
      <c r="B727" s="480" t="s">
        <v>1209</v>
      </c>
      <c r="C727" s="476"/>
      <c r="D727" s="476"/>
      <c r="E727" s="155">
        <v>0</v>
      </c>
      <c r="F727" s="155">
        <v>2348530.94</v>
      </c>
      <c r="G727" s="22"/>
      <c r="H727" s="155">
        <v>70274.789999999994</v>
      </c>
      <c r="I727" s="22"/>
      <c r="J727" s="155">
        <v>2278256.15</v>
      </c>
      <c r="K727" s="22">
        <f t="shared" si="11"/>
        <v>2278256.15</v>
      </c>
    </row>
    <row r="728" spans="1:11" ht="15.95" customHeight="1" x14ac:dyDescent="0.2">
      <c r="A728" s="139" t="s">
        <v>1210</v>
      </c>
      <c r="B728" s="480" t="s">
        <v>1211</v>
      </c>
      <c r="C728" s="476"/>
      <c r="D728" s="476"/>
      <c r="E728" s="155">
        <v>0</v>
      </c>
      <c r="F728" s="155">
        <v>30000</v>
      </c>
      <c r="G728" s="22"/>
      <c r="H728" s="155">
        <v>0</v>
      </c>
      <c r="I728" s="22"/>
      <c r="J728" s="155">
        <v>30000</v>
      </c>
      <c r="K728" s="22">
        <f t="shared" si="11"/>
        <v>30000</v>
      </c>
    </row>
    <row r="729" spans="1:11" ht="15.95" customHeight="1" x14ac:dyDescent="0.2">
      <c r="A729" s="139" t="s">
        <v>1212</v>
      </c>
      <c r="B729" s="480" t="s">
        <v>1213</v>
      </c>
      <c r="C729" s="476"/>
      <c r="D729" s="476"/>
      <c r="E729" s="155">
        <v>0</v>
      </c>
      <c r="F729" s="155">
        <v>8860</v>
      </c>
      <c r="G729" s="22"/>
      <c r="H729" s="155">
        <v>0</v>
      </c>
      <c r="I729" s="22"/>
      <c r="J729" s="155">
        <v>8860</v>
      </c>
      <c r="K729" s="22">
        <f t="shared" si="11"/>
        <v>8860</v>
      </c>
    </row>
    <row r="730" spans="1:11" ht="15.95" customHeight="1" x14ac:dyDescent="0.2">
      <c r="A730" s="139" t="s">
        <v>1558</v>
      </c>
      <c r="B730" s="480" t="s">
        <v>1559</v>
      </c>
      <c r="C730" s="476"/>
      <c r="D730" s="476"/>
      <c r="E730" s="155">
        <v>0</v>
      </c>
      <c r="F730" s="155">
        <v>585710.93999999994</v>
      </c>
      <c r="G730" s="22"/>
      <c r="H730" s="155">
        <v>0</v>
      </c>
      <c r="I730" s="22"/>
      <c r="J730" s="155">
        <v>585710.93999999994</v>
      </c>
      <c r="K730" s="22">
        <f t="shared" si="11"/>
        <v>585710.93999999994</v>
      </c>
    </row>
    <row r="731" spans="1:11" ht="15.95" customHeight="1" x14ac:dyDescent="0.2">
      <c r="A731" s="139" t="s">
        <v>1214</v>
      </c>
      <c r="B731" s="480" t="s">
        <v>1215</v>
      </c>
      <c r="C731" s="476"/>
      <c r="D731" s="476"/>
      <c r="E731" s="155">
        <v>0</v>
      </c>
      <c r="F731" s="155">
        <v>35465.33</v>
      </c>
      <c r="G731" s="22"/>
      <c r="H731" s="155">
        <v>11705.38</v>
      </c>
      <c r="I731" s="22"/>
      <c r="J731" s="155">
        <v>23759.95</v>
      </c>
      <c r="K731" s="22">
        <f t="shared" si="11"/>
        <v>23759.95</v>
      </c>
    </row>
    <row r="732" spans="1:11" ht="15.95" customHeight="1" x14ac:dyDescent="0.2">
      <c r="A732" s="139" t="s">
        <v>1216</v>
      </c>
      <c r="B732" s="480" t="s">
        <v>1217</v>
      </c>
      <c r="C732" s="476"/>
      <c r="D732" s="476"/>
      <c r="E732" s="155">
        <v>0</v>
      </c>
      <c r="F732" s="155">
        <v>1338626.5</v>
      </c>
      <c r="G732" s="22"/>
      <c r="H732" s="155" t="s">
        <v>921</v>
      </c>
      <c r="I732" s="22"/>
      <c r="J732" s="155">
        <v>1338626.49</v>
      </c>
      <c r="K732" s="22">
        <f t="shared" si="11"/>
        <v>1338626.49</v>
      </c>
    </row>
    <row r="733" spans="1:11" ht="15.95" customHeight="1" x14ac:dyDescent="0.2">
      <c r="A733" s="139" t="s">
        <v>1218</v>
      </c>
      <c r="B733" s="480" t="s">
        <v>1219</v>
      </c>
      <c r="C733" s="476"/>
      <c r="D733" s="476"/>
      <c r="E733" s="155">
        <v>0</v>
      </c>
      <c r="F733" s="155">
        <v>1934126.05</v>
      </c>
      <c r="G733" s="22"/>
      <c r="H733" s="155" t="s">
        <v>921</v>
      </c>
      <c r="I733" s="22"/>
      <c r="J733" s="155">
        <v>1934126.04</v>
      </c>
      <c r="K733" s="22">
        <f t="shared" si="11"/>
        <v>1934126.04</v>
      </c>
    </row>
    <row r="734" spans="1:11" ht="15.95" customHeight="1" x14ac:dyDescent="0.2">
      <c r="A734" s="139" t="s">
        <v>1220</v>
      </c>
      <c r="B734" s="480" t="s">
        <v>1221</v>
      </c>
      <c r="C734" s="476"/>
      <c r="D734" s="476"/>
      <c r="E734" s="155">
        <v>0</v>
      </c>
      <c r="F734" s="155">
        <v>500064</v>
      </c>
      <c r="G734" s="22"/>
      <c r="H734" s="155">
        <v>0</v>
      </c>
      <c r="I734" s="22"/>
      <c r="J734" s="155">
        <v>500064</v>
      </c>
      <c r="K734" s="22">
        <f t="shared" si="11"/>
        <v>500064</v>
      </c>
    </row>
    <row r="735" spans="1:11" ht="15.95" customHeight="1" x14ac:dyDescent="0.2">
      <c r="A735" s="139">
        <v>4110104</v>
      </c>
      <c r="B735" s="480" t="s">
        <v>1222</v>
      </c>
      <c r="C735" s="476"/>
      <c r="D735" s="476"/>
      <c r="E735" s="155">
        <v>0</v>
      </c>
      <c r="F735" s="155">
        <v>4080.87</v>
      </c>
      <c r="G735" s="22"/>
      <c r="H735" s="155">
        <v>0</v>
      </c>
      <c r="I735" s="22"/>
      <c r="J735" s="155">
        <v>4080.87</v>
      </c>
      <c r="K735" s="22">
        <f t="shared" si="11"/>
        <v>4080.87</v>
      </c>
    </row>
    <row r="736" spans="1:11" ht="15.95" customHeight="1" x14ac:dyDescent="0.2">
      <c r="A736" s="139" t="s">
        <v>1223</v>
      </c>
      <c r="B736" s="480" t="s">
        <v>1224</v>
      </c>
      <c r="C736" s="476"/>
      <c r="D736" s="476"/>
      <c r="E736" s="155">
        <v>0</v>
      </c>
      <c r="F736" s="155">
        <v>150</v>
      </c>
      <c r="G736" s="22"/>
      <c r="H736" s="155">
        <v>0</v>
      </c>
      <c r="I736" s="22"/>
      <c r="J736" s="155">
        <v>150</v>
      </c>
      <c r="K736" s="22">
        <f t="shared" si="11"/>
        <v>150</v>
      </c>
    </row>
    <row r="737" spans="1:12" ht="15.95" customHeight="1" x14ac:dyDescent="0.2">
      <c r="A737" s="139" t="s">
        <v>1225</v>
      </c>
      <c r="B737" s="480" t="s">
        <v>182</v>
      </c>
      <c r="C737" s="476"/>
      <c r="D737" s="476"/>
      <c r="E737" s="155">
        <v>0</v>
      </c>
      <c r="F737" s="155">
        <v>128</v>
      </c>
      <c r="G737" s="22"/>
      <c r="H737" s="155">
        <v>0</v>
      </c>
      <c r="I737" s="22"/>
      <c r="J737" s="155">
        <v>128</v>
      </c>
      <c r="K737" s="22">
        <f t="shared" si="11"/>
        <v>128</v>
      </c>
    </row>
    <row r="738" spans="1:12" ht="15.95" customHeight="1" x14ac:dyDescent="0.2">
      <c r="A738" s="139" t="s">
        <v>1226</v>
      </c>
      <c r="B738" s="480" t="s">
        <v>1227</v>
      </c>
      <c r="C738" s="476"/>
      <c r="D738" s="476"/>
      <c r="E738" s="155">
        <v>0</v>
      </c>
      <c r="F738" s="155">
        <v>7.55</v>
      </c>
      <c r="G738" s="22"/>
      <c r="H738" s="155">
        <v>0</v>
      </c>
      <c r="I738" s="22"/>
      <c r="J738" s="155">
        <v>7.55</v>
      </c>
      <c r="K738" s="22">
        <f t="shared" si="11"/>
        <v>7.55</v>
      </c>
    </row>
    <row r="739" spans="1:12" ht="15.95" customHeight="1" x14ac:dyDescent="0.2">
      <c r="A739" s="139" t="s">
        <v>1228</v>
      </c>
      <c r="B739" s="480" t="s">
        <v>194</v>
      </c>
      <c r="C739" s="476"/>
      <c r="D739" s="476"/>
      <c r="E739" s="155">
        <v>0</v>
      </c>
      <c r="F739" s="155">
        <v>2550.87</v>
      </c>
      <c r="G739" s="22"/>
      <c r="H739" s="155">
        <v>0</v>
      </c>
      <c r="I739" s="22"/>
      <c r="J739" s="155">
        <v>2550.87</v>
      </c>
      <c r="K739" s="22">
        <f t="shared" si="11"/>
        <v>2550.87</v>
      </c>
    </row>
    <row r="740" spans="1:12" ht="15.95" customHeight="1" x14ac:dyDescent="0.2">
      <c r="A740" s="139" t="s">
        <v>1229</v>
      </c>
      <c r="B740" s="480" t="s">
        <v>1230</v>
      </c>
      <c r="C740" s="476"/>
      <c r="D740" s="476"/>
      <c r="E740" s="155">
        <v>0</v>
      </c>
      <c r="F740" s="155">
        <v>275</v>
      </c>
      <c r="G740" s="22"/>
      <c r="H740" s="155">
        <v>0</v>
      </c>
      <c r="I740" s="22"/>
      <c r="J740" s="155">
        <v>275</v>
      </c>
      <c r="K740" s="22">
        <f t="shared" si="11"/>
        <v>275</v>
      </c>
    </row>
    <row r="741" spans="1:12" ht="15.95" customHeight="1" x14ac:dyDescent="0.2">
      <c r="A741" s="139" t="s">
        <v>1231</v>
      </c>
      <c r="B741" s="480" t="s">
        <v>1232</v>
      </c>
      <c r="C741" s="476"/>
      <c r="D741" s="476"/>
      <c r="E741" s="155">
        <v>0</v>
      </c>
      <c r="F741" s="155">
        <v>1.9</v>
      </c>
      <c r="G741" s="22"/>
      <c r="H741" s="155">
        <v>0</v>
      </c>
      <c r="I741" s="22"/>
      <c r="J741" s="155">
        <v>1.9</v>
      </c>
      <c r="K741" s="22">
        <f t="shared" si="11"/>
        <v>1.9</v>
      </c>
    </row>
    <row r="742" spans="1:12" ht="15.95" customHeight="1" x14ac:dyDescent="0.2">
      <c r="A742" s="139" t="s">
        <v>1233</v>
      </c>
      <c r="B742" s="480" t="s">
        <v>1234</v>
      </c>
      <c r="C742" s="476"/>
      <c r="D742" s="476"/>
      <c r="E742" s="155">
        <v>0</v>
      </c>
      <c r="F742" s="155">
        <v>163</v>
      </c>
      <c r="G742" s="22"/>
      <c r="H742" s="155">
        <v>0</v>
      </c>
      <c r="I742" s="22"/>
      <c r="J742" s="155">
        <v>163</v>
      </c>
      <c r="K742" s="22">
        <f t="shared" si="11"/>
        <v>163</v>
      </c>
    </row>
    <row r="743" spans="1:12" ht="15.95" customHeight="1" x14ac:dyDescent="0.2">
      <c r="A743" s="139" t="s">
        <v>1235</v>
      </c>
      <c r="B743" s="480" t="s">
        <v>1236</v>
      </c>
      <c r="C743" s="476"/>
      <c r="D743" s="476"/>
      <c r="E743" s="155">
        <v>0</v>
      </c>
      <c r="F743" s="155">
        <v>562</v>
      </c>
      <c r="G743" s="22"/>
      <c r="H743" s="155">
        <v>0</v>
      </c>
      <c r="I743" s="22"/>
      <c r="J743" s="155">
        <v>562</v>
      </c>
      <c r="K743" s="22">
        <f t="shared" si="11"/>
        <v>562</v>
      </c>
    </row>
    <row r="744" spans="1:12" ht="15.95" customHeight="1" x14ac:dyDescent="0.2">
      <c r="A744" s="139" t="s">
        <v>1854</v>
      </c>
      <c r="B744" s="480" t="s">
        <v>196</v>
      </c>
      <c r="C744" s="476"/>
      <c r="D744" s="476"/>
      <c r="E744" s="155">
        <v>0</v>
      </c>
      <c r="F744" s="155">
        <v>242.55</v>
      </c>
      <c r="G744" s="22"/>
      <c r="H744" s="155">
        <v>0</v>
      </c>
      <c r="I744" s="22"/>
      <c r="J744" s="155">
        <v>242.55</v>
      </c>
      <c r="K744" s="22">
        <f t="shared" si="11"/>
        <v>242.55</v>
      </c>
    </row>
    <row r="745" spans="1:12" ht="15.95" customHeight="1" x14ac:dyDescent="0.2">
      <c r="A745" s="139">
        <v>4110105</v>
      </c>
      <c r="B745" s="480" t="s">
        <v>1237</v>
      </c>
      <c r="C745" s="476"/>
      <c r="D745" s="476"/>
      <c r="E745" s="155">
        <v>0</v>
      </c>
      <c r="F745" s="155">
        <v>14292946</v>
      </c>
      <c r="G745" s="22"/>
      <c r="H745" s="155">
        <v>753086.49</v>
      </c>
      <c r="I745" s="22"/>
      <c r="J745" s="155">
        <v>13539859.51</v>
      </c>
      <c r="K745" s="22">
        <f t="shared" si="11"/>
        <v>13539859.51</v>
      </c>
    </row>
    <row r="746" spans="1:12" ht="15.95" customHeight="1" x14ac:dyDescent="0.2">
      <c r="A746" s="139" t="s">
        <v>1238</v>
      </c>
      <c r="B746" s="480" t="s">
        <v>1239</v>
      </c>
      <c r="C746" s="476"/>
      <c r="D746" s="476"/>
      <c r="E746" s="155">
        <v>0</v>
      </c>
      <c r="F746" s="155">
        <v>637332.27</v>
      </c>
      <c r="G746" s="22"/>
      <c r="H746" s="155">
        <v>0</v>
      </c>
      <c r="I746" s="22"/>
      <c r="J746" s="155">
        <v>637332.27</v>
      </c>
      <c r="K746" s="22">
        <f t="shared" si="11"/>
        <v>637332.27</v>
      </c>
    </row>
    <row r="747" spans="1:12" ht="15.95" customHeight="1" x14ac:dyDescent="0.2">
      <c r="A747" s="139" t="s">
        <v>1240</v>
      </c>
      <c r="B747" s="480" t="s">
        <v>1241</v>
      </c>
      <c r="C747" s="476"/>
      <c r="D747" s="476"/>
      <c r="E747" s="155">
        <v>0</v>
      </c>
      <c r="F747" s="155">
        <v>2813973.42</v>
      </c>
      <c r="G747" s="22"/>
      <c r="H747" s="155">
        <v>160332.4</v>
      </c>
      <c r="I747" s="22"/>
      <c r="J747" s="155">
        <v>2653641.02</v>
      </c>
      <c r="K747" s="22">
        <f t="shared" si="11"/>
        <v>2653641.02</v>
      </c>
    </row>
    <row r="748" spans="1:12" ht="15.95" customHeight="1" x14ac:dyDescent="0.2">
      <c r="A748" s="139" t="s">
        <v>1855</v>
      </c>
      <c r="B748" s="480" t="s">
        <v>1370</v>
      </c>
      <c r="C748" s="476"/>
      <c r="D748" s="476"/>
      <c r="E748" s="155">
        <v>0</v>
      </c>
      <c r="F748" s="155">
        <v>8</v>
      </c>
      <c r="G748" s="22"/>
      <c r="H748" s="155">
        <v>0</v>
      </c>
      <c r="I748" s="22"/>
      <c r="J748" s="155">
        <v>8</v>
      </c>
      <c r="K748" s="22">
        <f t="shared" si="11"/>
        <v>8</v>
      </c>
    </row>
    <row r="749" spans="1:12" ht="15.95" customHeight="1" x14ac:dyDescent="0.2">
      <c r="A749" s="139" t="s">
        <v>1242</v>
      </c>
      <c r="B749" s="480" t="s">
        <v>1243</v>
      </c>
      <c r="C749" s="476"/>
      <c r="D749" s="476"/>
      <c r="E749" s="155">
        <v>0</v>
      </c>
      <c r="F749" s="155">
        <v>1807124.52</v>
      </c>
      <c r="G749" s="22"/>
      <c r="H749" s="155">
        <v>0</v>
      </c>
      <c r="I749" s="22"/>
      <c r="J749" s="155">
        <v>1807124.52</v>
      </c>
      <c r="K749" s="22">
        <f t="shared" si="11"/>
        <v>1807124.52</v>
      </c>
    </row>
    <row r="750" spans="1:12" ht="15.95" customHeight="1" x14ac:dyDescent="0.2">
      <c r="A750" s="139" t="s">
        <v>1244</v>
      </c>
      <c r="B750" s="480" t="s">
        <v>1245</v>
      </c>
      <c r="C750" s="476"/>
      <c r="D750" s="476"/>
      <c r="E750" s="155">
        <v>0</v>
      </c>
      <c r="F750" s="155">
        <v>52000</v>
      </c>
      <c r="G750" s="22"/>
      <c r="H750" s="155">
        <v>0</v>
      </c>
      <c r="I750" s="22"/>
      <c r="J750" s="155">
        <v>52000</v>
      </c>
      <c r="K750" s="22">
        <f t="shared" si="11"/>
        <v>52000</v>
      </c>
    </row>
    <row r="751" spans="1:12" ht="15.95" customHeight="1" x14ac:dyDescent="0.2">
      <c r="A751" s="141" t="s">
        <v>1246</v>
      </c>
      <c r="B751" s="481" t="s">
        <v>1247</v>
      </c>
      <c r="C751" s="482"/>
      <c r="D751" s="482"/>
      <c r="E751" s="156">
        <v>0</v>
      </c>
      <c r="F751" s="156">
        <v>73688.990000000005</v>
      </c>
      <c r="G751" s="25"/>
      <c r="H751" s="156">
        <v>592754.09</v>
      </c>
      <c r="I751" s="25"/>
      <c r="J751" s="156">
        <v>-519065.1</v>
      </c>
      <c r="K751" s="25">
        <f t="shared" si="11"/>
        <v>-519065.1</v>
      </c>
    </row>
    <row r="752" spans="1:12" ht="15.95" customHeight="1" x14ac:dyDescent="0.2">
      <c r="A752" s="141" t="s">
        <v>1248</v>
      </c>
      <c r="B752" s="481" t="s">
        <v>1249</v>
      </c>
      <c r="C752" s="482"/>
      <c r="D752" s="482"/>
      <c r="E752" s="156">
        <v>0</v>
      </c>
      <c r="F752" s="156">
        <v>8908818.8000000007</v>
      </c>
      <c r="G752" s="25"/>
      <c r="H752" s="156">
        <v>0</v>
      </c>
      <c r="I752" s="25"/>
      <c r="J752" s="156">
        <v>8908818.8000000007</v>
      </c>
      <c r="K752" s="25">
        <f t="shared" si="11"/>
        <v>8908818.8000000007</v>
      </c>
      <c r="L752" s="22">
        <f>K752+K829+K830</f>
        <v>11973506.670000002</v>
      </c>
    </row>
    <row r="753" spans="1:11" ht="15.95" customHeight="1" x14ac:dyDescent="0.2">
      <c r="A753" s="139">
        <v>5</v>
      </c>
      <c r="B753" s="480" t="s">
        <v>1250</v>
      </c>
      <c r="C753" s="476"/>
      <c r="D753" s="476"/>
      <c r="E753" s="155">
        <v>0</v>
      </c>
      <c r="F753" s="155">
        <v>22880729.870000001</v>
      </c>
      <c r="G753" s="22"/>
      <c r="H753" s="155">
        <v>1898396.02</v>
      </c>
      <c r="I753" s="22"/>
      <c r="J753" s="155">
        <v>20982333.850000001</v>
      </c>
      <c r="K753" s="22">
        <f t="shared" si="11"/>
        <v>20982333.850000001</v>
      </c>
    </row>
    <row r="754" spans="1:11" ht="15.95" customHeight="1" x14ac:dyDescent="0.2">
      <c r="A754" s="139">
        <v>51</v>
      </c>
      <c r="B754" s="480" t="s">
        <v>1250</v>
      </c>
      <c r="C754" s="476"/>
      <c r="D754" s="476"/>
      <c r="E754" s="155">
        <v>0</v>
      </c>
      <c r="F754" s="155">
        <v>20586983.140000001</v>
      </c>
      <c r="G754" s="22"/>
      <c r="H754" s="155">
        <v>855130.57</v>
      </c>
      <c r="I754" s="22"/>
      <c r="J754" s="155">
        <v>19731852.57</v>
      </c>
      <c r="K754" s="22">
        <f t="shared" si="11"/>
        <v>19731852.57</v>
      </c>
    </row>
    <row r="755" spans="1:11" ht="15.95" customHeight="1" x14ac:dyDescent="0.2">
      <c r="A755" s="139">
        <v>511</v>
      </c>
      <c r="B755" s="480" t="s">
        <v>1251</v>
      </c>
      <c r="C755" s="476"/>
      <c r="D755" s="476"/>
      <c r="E755" s="155">
        <v>0</v>
      </c>
      <c r="F755" s="155">
        <v>20586983.140000001</v>
      </c>
      <c r="G755" s="22"/>
      <c r="H755" s="155">
        <v>855130.57</v>
      </c>
      <c r="I755" s="22"/>
      <c r="J755" s="155">
        <v>19731852.57</v>
      </c>
      <c r="K755" s="22">
        <f t="shared" si="11"/>
        <v>19731852.57</v>
      </c>
    </row>
    <row r="756" spans="1:11" ht="15.95" customHeight="1" x14ac:dyDescent="0.2">
      <c r="A756" s="139">
        <v>51101</v>
      </c>
      <c r="B756" s="480" t="s">
        <v>1251</v>
      </c>
      <c r="C756" s="476"/>
      <c r="D756" s="476"/>
      <c r="E756" s="155">
        <v>0</v>
      </c>
      <c r="F756" s="155">
        <v>20586983.140000001</v>
      </c>
      <c r="G756" s="22"/>
      <c r="H756" s="155">
        <v>855130.57</v>
      </c>
      <c r="I756" s="22"/>
      <c r="J756" s="155">
        <v>19731852.57</v>
      </c>
      <c r="K756" s="22">
        <f t="shared" si="11"/>
        <v>19731852.57</v>
      </c>
    </row>
    <row r="757" spans="1:11" ht="15.95" customHeight="1" x14ac:dyDescent="0.2">
      <c r="A757" s="139">
        <v>5110101</v>
      </c>
      <c r="B757" s="480" t="s">
        <v>1252</v>
      </c>
      <c r="C757" s="476"/>
      <c r="D757" s="476"/>
      <c r="E757" s="155">
        <v>0</v>
      </c>
      <c r="F757" s="155">
        <v>12424901.960000001</v>
      </c>
      <c r="G757" s="22"/>
      <c r="H757" s="155">
        <v>759103.66</v>
      </c>
      <c r="I757" s="22"/>
      <c r="J757" s="155">
        <v>11665798.300000001</v>
      </c>
      <c r="K757" s="22">
        <f t="shared" si="11"/>
        <v>11665798.300000001</v>
      </c>
    </row>
    <row r="758" spans="1:11" ht="27.95" customHeight="1" x14ac:dyDescent="0.2">
      <c r="A758" s="139" t="s">
        <v>1253</v>
      </c>
      <c r="B758" s="480" t="s">
        <v>1164</v>
      </c>
      <c r="C758" s="476"/>
      <c r="D758" s="476"/>
      <c r="E758" s="155">
        <v>0</v>
      </c>
      <c r="F758" s="155">
        <v>3302545.82</v>
      </c>
      <c r="G758" s="22"/>
      <c r="H758" s="155">
        <v>81851.820000000007</v>
      </c>
      <c r="I758" s="22"/>
      <c r="J758" s="155">
        <v>3220694</v>
      </c>
      <c r="K758" s="22">
        <f t="shared" si="11"/>
        <v>3220694</v>
      </c>
    </row>
    <row r="759" spans="1:11" ht="15.95" customHeight="1" x14ac:dyDescent="0.2">
      <c r="A759" s="139" t="s">
        <v>1254</v>
      </c>
      <c r="B759" s="480" t="s">
        <v>1166</v>
      </c>
      <c r="C759" s="476"/>
      <c r="D759" s="476"/>
      <c r="E759" s="155">
        <v>0</v>
      </c>
      <c r="F759" s="155">
        <v>915580.13</v>
      </c>
      <c r="G759" s="22"/>
      <c r="H759" s="155">
        <v>210.6</v>
      </c>
      <c r="I759" s="22"/>
      <c r="J759" s="155">
        <v>915369.53</v>
      </c>
      <c r="K759" s="22">
        <f t="shared" si="11"/>
        <v>915369.53</v>
      </c>
    </row>
    <row r="760" spans="1:11" ht="15.95" customHeight="1" x14ac:dyDescent="0.2">
      <c r="A760" s="139" t="s">
        <v>1255</v>
      </c>
      <c r="B760" s="480" t="s">
        <v>1186</v>
      </c>
      <c r="C760" s="476"/>
      <c r="D760" s="476"/>
      <c r="E760" s="155">
        <v>0</v>
      </c>
      <c r="F760" s="155">
        <v>278690.2</v>
      </c>
      <c r="G760" s="22"/>
      <c r="H760" s="155">
        <v>22393.62</v>
      </c>
      <c r="I760" s="22"/>
      <c r="J760" s="155">
        <v>256296.58</v>
      </c>
      <c r="K760" s="22">
        <f t="shared" si="11"/>
        <v>256296.58</v>
      </c>
    </row>
    <row r="761" spans="1:11" ht="15.95" customHeight="1" x14ac:dyDescent="0.2">
      <c r="A761" s="139" t="s">
        <v>1256</v>
      </c>
      <c r="B761" s="480" t="s">
        <v>1257</v>
      </c>
      <c r="C761" s="476"/>
      <c r="D761" s="476"/>
      <c r="E761" s="155">
        <v>0</v>
      </c>
      <c r="F761" s="155">
        <v>251626.81</v>
      </c>
      <c r="G761" s="22"/>
      <c r="H761" s="155">
        <v>0</v>
      </c>
      <c r="I761" s="22"/>
      <c r="J761" s="155">
        <v>251626.81</v>
      </c>
      <c r="K761" s="22">
        <f t="shared" si="11"/>
        <v>251626.81</v>
      </c>
    </row>
    <row r="762" spans="1:11" ht="15.95" customHeight="1" x14ac:dyDescent="0.2">
      <c r="A762" s="139" t="s">
        <v>1258</v>
      </c>
      <c r="B762" s="480" t="s">
        <v>1176</v>
      </c>
      <c r="C762" s="476"/>
      <c r="D762" s="476"/>
      <c r="E762" s="155">
        <v>0</v>
      </c>
      <c r="F762" s="155">
        <v>1963151.66</v>
      </c>
      <c r="G762" s="22"/>
      <c r="H762" s="155">
        <v>67015.100000000006</v>
      </c>
      <c r="I762" s="22"/>
      <c r="J762" s="155">
        <v>1896136.56</v>
      </c>
      <c r="K762" s="22">
        <f t="shared" si="11"/>
        <v>1896136.56</v>
      </c>
    </row>
    <row r="763" spans="1:11" ht="15.95" customHeight="1" x14ac:dyDescent="0.2">
      <c r="A763" s="139" t="s">
        <v>1259</v>
      </c>
      <c r="B763" s="480" t="s">
        <v>1178</v>
      </c>
      <c r="C763" s="476"/>
      <c r="D763" s="476"/>
      <c r="E763" s="155">
        <v>0</v>
      </c>
      <c r="F763" s="155">
        <v>834548.89</v>
      </c>
      <c r="G763" s="22"/>
      <c r="H763" s="155">
        <v>20061.88</v>
      </c>
      <c r="I763" s="22"/>
      <c r="J763" s="155">
        <v>814487.01</v>
      </c>
      <c r="K763" s="22">
        <f t="shared" si="11"/>
        <v>814487.01</v>
      </c>
    </row>
    <row r="764" spans="1:11" ht="15.95" customHeight="1" x14ac:dyDescent="0.2">
      <c r="A764" s="139" t="s">
        <v>1260</v>
      </c>
      <c r="B764" s="480" t="s">
        <v>1261</v>
      </c>
      <c r="C764" s="476"/>
      <c r="D764" s="476"/>
      <c r="E764" s="155">
        <v>0</v>
      </c>
      <c r="F764" s="155">
        <v>437083.04</v>
      </c>
      <c r="G764" s="22"/>
      <c r="H764" s="155">
        <v>19607.39</v>
      </c>
      <c r="I764" s="22"/>
      <c r="J764" s="155">
        <v>417475.65</v>
      </c>
      <c r="K764" s="22">
        <f t="shared" si="11"/>
        <v>417475.65</v>
      </c>
    </row>
    <row r="765" spans="1:11" ht="15.95" customHeight="1" x14ac:dyDescent="0.2">
      <c r="A765" s="139" t="s">
        <v>1262</v>
      </c>
      <c r="B765" s="480" t="s">
        <v>1263</v>
      </c>
      <c r="C765" s="476"/>
      <c r="D765" s="476"/>
      <c r="E765" s="155">
        <v>0</v>
      </c>
      <c r="F765" s="155">
        <v>794014.68</v>
      </c>
      <c r="G765" s="22"/>
      <c r="H765" s="155">
        <v>322181.59000000003</v>
      </c>
      <c r="I765" s="22"/>
      <c r="J765" s="155">
        <v>471833.09</v>
      </c>
      <c r="K765" s="22">
        <f t="shared" si="11"/>
        <v>471833.09</v>
      </c>
    </row>
    <row r="766" spans="1:11" ht="15.95" customHeight="1" x14ac:dyDescent="0.2">
      <c r="A766" s="139" t="s">
        <v>1264</v>
      </c>
      <c r="B766" s="480" t="s">
        <v>1184</v>
      </c>
      <c r="C766" s="476"/>
      <c r="D766" s="476"/>
      <c r="E766" s="155">
        <v>0</v>
      </c>
      <c r="F766" s="155">
        <v>2094.4499999999998</v>
      </c>
      <c r="G766" s="22"/>
      <c r="H766" s="155">
        <v>813.78</v>
      </c>
      <c r="I766" s="22"/>
      <c r="J766" s="155">
        <v>1280.67</v>
      </c>
      <c r="K766" s="22">
        <f t="shared" si="11"/>
        <v>1280.67</v>
      </c>
    </row>
    <row r="767" spans="1:11" ht="15.95" customHeight="1" x14ac:dyDescent="0.2">
      <c r="A767" s="139" t="s">
        <v>1265</v>
      </c>
      <c r="B767" s="480" t="s">
        <v>1266</v>
      </c>
      <c r="C767" s="476"/>
      <c r="D767" s="476"/>
      <c r="E767" s="155">
        <v>0</v>
      </c>
      <c r="F767" s="155">
        <v>1073150.49</v>
      </c>
      <c r="G767" s="22"/>
      <c r="H767" s="155">
        <v>161610.13</v>
      </c>
      <c r="I767" s="22"/>
      <c r="J767" s="155">
        <v>911540.36</v>
      </c>
      <c r="K767" s="22">
        <f t="shared" si="11"/>
        <v>911540.36</v>
      </c>
    </row>
    <row r="768" spans="1:11" ht="15.95" customHeight="1" x14ac:dyDescent="0.2">
      <c r="A768" s="139" t="s">
        <v>1267</v>
      </c>
      <c r="B768" s="480" t="s">
        <v>1198</v>
      </c>
      <c r="C768" s="476"/>
      <c r="D768" s="476"/>
      <c r="E768" s="155">
        <v>0</v>
      </c>
      <c r="F768" s="155">
        <v>526092.55000000005</v>
      </c>
      <c r="G768" s="22"/>
      <c r="H768" s="155">
        <v>22215.81</v>
      </c>
      <c r="I768" s="22"/>
      <c r="J768" s="155">
        <v>503876.74</v>
      </c>
      <c r="K768" s="22">
        <f t="shared" si="11"/>
        <v>503876.74</v>
      </c>
    </row>
    <row r="769" spans="1:11" ht="15.95" customHeight="1" x14ac:dyDescent="0.2">
      <c r="A769" s="139" t="s">
        <v>1268</v>
      </c>
      <c r="B769" s="480" t="s">
        <v>1269</v>
      </c>
      <c r="C769" s="476"/>
      <c r="D769" s="476"/>
      <c r="E769" s="155">
        <v>0</v>
      </c>
      <c r="F769" s="155">
        <v>249678.67</v>
      </c>
      <c r="G769" s="22"/>
      <c r="H769" s="155">
        <v>5937.5</v>
      </c>
      <c r="I769" s="22"/>
      <c r="J769" s="155">
        <v>243741.17</v>
      </c>
      <c r="K769" s="22">
        <f t="shared" si="11"/>
        <v>243741.17</v>
      </c>
    </row>
    <row r="770" spans="1:11" ht="15.95" customHeight="1" x14ac:dyDescent="0.2">
      <c r="A770" s="139" t="s">
        <v>1270</v>
      </c>
      <c r="B770" s="480" t="s">
        <v>658</v>
      </c>
      <c r="C770" s="476"/>
      <c r="D770" s="476"/>
      <c r="E770" s="155">
        <v>0</v>
      </c>
      <c r="F770" s="155">
        <v>7958.7</v>
      </c>
      <c r="G770" s="22"/>
      <c r="H770" s="155">
        <v>0</v>
      </c>
      <c r="I770" s="22"/>
      <c r="J770" s="155">
        <v>7958.7</v>
      </c>
      <c r="K770" s="22">
        <f t="shared" si="11"/>
        <v>7958.7</v>
      </c>
    </row>
    <row r="771" spans="1:11" ht="15.95" customHeight="1" x14ac:dyDescent="0.2">
      <c r="A771" s="139" t="s">
        <v>1271</v>
      </c>
      <c r="B771" s="480" t="s">
        <v>1272</v>
      </c>
      <c r="C771" s="476"/>
      <c r="D771" s="476"/>
      <c r="E771" s="155">
        <v>0</v>
      </c>
      <c r="F771" s="155">
        <v>41525.03</v>
      </c>
      <c r="G771" s="22"/>
      <c r="H771" s="155">
        <v>0</v>
      </c>
      <c r="I771" s="22"/>
      <c r="J771" s="155">
        <v>41525.03</v>
      </c>
      <c r="K771" s="22">
        <f t="shared" si="11"/>
        <v>41525.03</v>
      </c>
    </row>
    <row r="772" spans="1:11" ht="15.95" customHeight="1" x14ac:dyDescent="0.2">
      <c r="A772" s="139" t="s">
        <v>1856</v>
      </c>
      <c r="B772" s="480" t="s">
        <v>1857</v>
      </c>
      <c r="C772" s="476"/>
      <c r="D772" s="476"/>
      <c r="E772" s="155">
        <v>0</v>
      </c>
      <c r="F772" s="155">
        <v>3290</v>
      </c>
      <c r="G772" s="22"/>
      <c r="H772" s="155">
        <v>0</v>
      </c>
      <c r="I772" s="22"/>
      <c r="J772" s="155">
        <v>3290</v>
      </c>
      <c r="K772" s="22">
        <f t="shared" ref="K772:K835" si="12">J772-E772</f>
        <v>3290</v>
      </c>
    </row>
    <row r="773" spans="1:11" ht="15.95" customHeight="1" x14ac:dyDescent="0.2">
      <c r="A773" s="139" t="s">
        <v>1273</v>
      </c>
      <c r="B773" s="480" t="s">
        <v>1274</v>
      </c>
      <c r="C773" s="476"/>
      <c r="D773" s="476"/>
      <c r="E773" s="155">
        <v>0</v>
      </c>
      <c r="F773" s="155">
        <v>66556.539999999994</v>
      </c>
      <c r="G773" s="22"/>
      <c r="H773" s="155">
        <v>16722.310000000001</v>
      </c>
      <c r="I773" s="22"/>
      <c r="J773" s="155">
        <v>49834.23</v>
      </c>
      <c r="K773" s="22">
        <f t="shared" si="12"/>
        <v>49834.23</v>
      </c>
    </row>
    <row r="774" spans="1:11" ht="15.95" customHeight="1" x14ac:dyDescent="0.2">
      <c r="A774" s="139" t="s">
        <v>1275</v>
      </c>
      <c r="B774" s="480" t="s">
        <v>1188</v>
      </c>
      <c r="C774" s="476"/>
      <c r="D774" s="476"/>
      <c r="E774" s="155">
        <v>0</v>
      </c>
      <c r="F774" s="155">
        <v>99258.63</v>
      </c>
      <c r="G774" s="22"/>
      <c r="H774" s="155">
        <v>0</v>
      </c>
      <c r="I774" s="22"/>
      <c r="J774" s="155">
        <v>99258.63</v>
      </c>
      <c r="K774" s="22">
        <f t="shared" si="12"/>
        <v>99258.63</v>
      </c>
    </row>
    <row r="775" spans="1:11" ht="15.95" customHeight="1" x14ac:dyDescent="0.2">
      <c r="A775" s="139" t="s">
        <v>1276</v>
      </c>
      <c r="B775" s="480" t="s">
        <v>1180</v>
      </c>
      <c r="C775" s="476"/>
      <c r="D775" s="476"/>
      <c r="E775" s="155">
        <v>0</v>
      </c>
      <c r="F775" s="155">
        <v>28342.62</v>
      </c>
      <c r="G775" s="22"/>
      <c r="H775" s="155">
        <v>14465.12</v>
      </c>
      <c r="I775" s="22"/>
      <c r="J775" s="155">
        <v>13877.5</v>
      </c>
      <c r="K775" s="22">
        <f t="shared" si="12"/>
        <v>13877.5</v>
      </c>
    </row>
    <row r="776" spans="1:11" ht="15.95" customHeight="1" x14ac:dyDescent="0.2">
      <c r="A776" s="139" t="s">
        <v>1277</v>
      </c>
      <c r="B776" s="480" t="s">
        <v>1190</v>
      </c>
      <c r="C776" s="476"/>
      <c r="D776" s="476"/>
      <c r="E776" s="155">
        <v>0</v>
      </c>
      <c r="F776" s="155">
        <v>44210.28</v>
      </c>
      <c r="G776" s="22"/>
      <c r="H776" s="155">
        <v>2635.06</v>
      </c>
      <c r="I776" s="22"/>
      <c r="J776" s="155">
        <v>41575.22</v>
      </c>
      <c r="K776" s="22">
        <f t="shared" si="12"/>
        <v>41575.22</v>
      </c>
    </row>
    <row r="777" spans="1:11" ht="15.95" customHeight="1" x14ac:dyDescent="0.2">
      <c r="A777" s="139" t="s">
        <v>1278</v>
      </c>
      <c r="B777" s="480" t="s">
        <v>1279</v>
      </c>
      <c r="C777" s="476"/>
      <c r="D777" s="476"/>
      <c r="E777" s="155">
        <v>0</v>
      </c>
      <c r="F777" s="155">
        <v>4102.8</v>
      </c>
      <c r="G777" s="22"/>
      <c r="H777" s="155">
        <v>78</v>
      </c>
      <c r="I777" s="22"/>
      <c r="J777" s="155">
        <v>4024.8</v>
      </c>
      <c r="K777" s="22">
        <f t="shared" si="12"/>
        <v>4024.8</v>
      </c>
    </row>
    <row r="778" spans="1:11" ht="15.95" customHeight="1" x14ac:dyDescent="0.2">
      <c r="A778" s="139" t="s">
        <v>1280</v>
      </c>
      <c r="B778" s="480" t="s">
        <v>1192</v>
      </c>
      <c r="C778" s="476"/>
      <c r="D778" s="476"/>
      <c r="E778" s="155">
        <v>0</v>
      </c>
      <c r="F778" s="155">
        <v>24253.56</v>
      </c>
      <c r="G778" s="22"/>
      <c r="H778" s="155">
        <v>1303.95</v>
      </c>
      <c r="I778" s="22"/>
      <c r="J778" s="155">
        <v>22949.61</v>
      </c>
      <c r="K778" s="22">
        <f t="shared" si="12"/>
        <v>22949.61</v>
      </c>
    </row>
    <row r="779" spans="1:11" ht="15.95" customHeight="1" x14ac:dyDescent="0.2">
      <c r="A779" s="139" t="s">
        <v>1281</v>
      </c>
      <c r="B779" s="480" t="s">
        <v>1200</v>
      </c>
      <c r="C779" s="476"/>
      <c r="D779" s="476"/>
      <c r="E779" s="155">
        <v>0</v>
      </c>
      <c r="F779" s="155">
        <v>623115.05000000005</v>
      </c>
      <c r="G779" s="22"/>
      <c r="H779" s="155">
        <v>0</v>
      </c>
      <c r="I779" s="22"/>
      <c r="J779" s="155">
        <v>623115.05000000005</v>
      </c>
      <c r="K779" s="22">
        <f t="shared" si="12"/>
        <v>623115.05000000005</v>
      </c>
    </row>
    <row r="780" spans="1:11" ht="15.95" customHeight="1" x14ac:dyDescent="0.2">
      <c r="A780" s="139" t="s">
        <v>1282</v>
      </c>
      <c r="B780" s="480" t="s">
        <v>1283</v>
      </c>
      <c r="C780" s="476"/>
      <c r="D780" s="476"/>
      <c r="E780" s="155">
        <v>0</v>
      </c>
      <c r="F780" s="155">
        <v>685856.52</v>
      </c>
      <c r="G780" s="22"/>
      <c r="H780" s="155">
        <v>0</v>
      </c>
      <c r="I780" s="22"/>
      <c r="J780" s="155">
        <v>685856.52</v>
      </c>
      <c r="K780" s="22">
        <f t="shared" si="12"/>
        <v>685856.52</v>
      </c>
    </row>
    <row r="781" spans="1:11" ht="15.95" customHeight="1" x14ac:dyDescent="0.2">
      <c r="A781" s="139" t="s">
        <v>1284</v>
      </c>
      <c r="B781" s="480" t="s">
        <v>1285</v>
      </c>
      <c r="C781" s="476"/>
      <c r="D781" s="476"/>
      <c r="E781" s="155">
        <v>0</v>
      </c>
      <c r="F781" s="155">
        <v>168174.84</v>
      </c>
      <c r="G781" s="22"/>
      <c r="H781" s="155">
        <v>0</v>
      </c>
      <c r="I781" s="22"/>
      <c r="J781" s="155">
        <v>168174.84</v>
      </c>
      <c r="K781" s="22">
        <f t="shared" si="12"/>
        <v>168174.84</v>
      </c>
    </row>
    <row r="782" spans="1:11" ht="15.95" customHeight="1" x14ac:dyDescent="0.2">
      <c r="A782" s="139">
        <v>5110102</v>
      </c>
      <c r="B782" s="480" t="s">
        <v>1286</v>
      </c>
      <c r="C782" s="476"/>
      <c r="D782" s="476"/>
      <c r="E782" s="155">
        <v>0</v>
      </c>
      <c r="F782" s="155">
        <v>320494.01</v>
      </c>
      <c r="G782" s="22"/>
      <c r="H782" s="155">
        <v>281.73</v>
      </c>
      <c r="I782" s="22"/>
      <c r="J782" s="155">
        <v>320212.28000000003</v>
      </c>
      <c r="K782" s="22">
        <f t="shared" si="12"/>
        <v>320212.28000000003</v>
      </c>
    </row>
    <row r="783" spans="1:11" ht="15.95" customHeight="1" x14ac:dyDescent="0.2">
      <c r="A783" s="139" t="s">
        <v>1287</v>
      </c>
      <c r="B783" s="480" t="s">
        <v>1288</v>
      </c>
      <c r="C783" s="476"/>
      <c r="D783" s="476"/>
      <c r="E783" s="155">
        <v>0</v>
      </c>
      <c r="F783" s="155">
        <v>76835.100000000006</v>
      </c>
      <c r="G783" s="22"/>
      <c r="H783" s="155">
        <v>0</v>
      </c>
      <c r="I783" s="22"/>
      <c r="J783" s="155">
        <v>76835.100000000006</v>
      </c>
      <c r="K783" s="22">
        <f t="shared" si="12"/>
        <v>76835.100000000006</v>
      </c>
    </row>
    <row r="784" spans="1:11" ht="15.95" customHeight="1" x14ac:dyDescent="0.2">
      <c r="A784" s="139" t="s">
        <v>1289</v>
      </c>
      <c r="B784" s="480" t="s">
        <v>1290</v>
      </c>
      <c r="C784" s="476"/>
      <c r="D784" s="476"/>
      <c r="E784" s="155">
        <v>0</v>
      </c>
      <c r="F784" s="155">
        <v>123196.76</v>
      </c>
      <c r="G784" s="22"/>
      <c r="H784" s="155">
        <v>281.73</v>
      </c>
      <c r="I784" s="22"/>
      <c r="J784" s="155">
        <v>122915.03</v>
      </c>
      <c r="K784" s="22">
        <f t="shared" si="12"/>
        <v>122915.03</v>
      </c>
    </row>
    <row r="785" spans="1:11" ht="15.95" customHeight="1" x14ac:dyDescent="0.2">
      <c r="A785" s="139" t="s">
        <v>1858</v>
      </c>
      <c r="B785" s="480" t="s">
        <v>1213</v>
      </c>
      <c r="C785" s="476"/>
      <c r="D785" s="476"/>
      <c r="E785" s="155">
        <v>0</v>
      </c>
      <c r="F785" s="155">
        <v>599.4</v>
      </c>
      <c r="G785" s="22"/>
      <c r="H785" s="155">
        <v>0</v>
      </c>
      <c r="I785" s="22"/>
      <c r="J785" s="155">
        <v>599.4</v>
      </c>
      <c r="K785" s="22">
        <f t="shared" si="12"/>
        <v>599.4</v>
      </c>
    </row>
    <row r="786" spans="1:11" ht="15.95" customHeight="1" x14ac:dyDescent="0.2">
      <c r="A786" s="139" t="s">
        <v>1291</v>
      </c>
      <c r="B786" s="480" t="s">
        <v>1292</v>
      </c>
      <c r="C786" s="476"/>
      <c r="D786" s="476"/>
      <c r="E786" s="155">
        <v>0</v>
      </c>
      <c r="F786" s="155">
        <v>66590.42</v>
      </c>
      <c r="G786" s="22"/>
      <c r="H786" s="155">
        <v>0</v>
      </c>
      <c r="I786" s="22"/>
      <c r="J786" s="155">
        <v>66590.42</v>
      </c>
      <c r="K786" s="22">
        <f t="shared" si="12"/>
        <v>66590.42</v>
      </c>
    </row>
    <row r="787" spans="1:11" ht="15.95" customHeight="1" x14ac:dyDescent="0.2">
      <c r="A787" s="139" t="s">
        <v>1293</v>
      </c>
      <c r="B787" s="480" t="s">
        <v>1294</v>
      </c>
      <c r="C787" s="476"/>
      <c r="D787" s="476"/>
      <c r="E787" s="155">
        <v>0</v>
      </c>
      <c r="F787" s="155">
        <v>53272.33</v>
      </c>
      <c r="G787" s="22"/>
      <c r="H787" s="155">
        <v>0</v>
      </c>
      <c r="I787" s="22"/>
      <c r="J787" s="155">
        <v>53272.33</v>
      </c>
      <c r="K787" s="22">
        <f t="shared" si="12"/>
        <v>53272.33</v>
      </c>
    </row>
    <row r="788" spans="1:11" ht="15.95" customHeight="1" x14ac:dyDescent="0.2">
      <c r="A788" s="139">
        <v>5110103</v>
      </c>
      <c r="B788" s="480" t="s">
        <v>1295</v>
      </c>
      <c r="C788" s="476"/>
      <c r="D788" s="476"/>
      <c r="E788" s="155">
        <v>0</v>
      </c>
      <c r="F788" s="155">
        <v>3490154.02</v>
      </c>
      <c r="G788" s="22"/>
      <c r="H788" s="155">
        <v>5038.28</v>
      </c>
      <c r="I788" s="22"/>
      <c r="J788" s="155">
        <v>3485115.74</v>
      </c>
      <c r="K788" s="22">
        <f t="shared" si="12"/>
        <v>3485115.74</v>
      </c>
    </row>
    <row r="789" spans="1:11" ht="15.95" customHeight="1" x14ac:dyDescent="0.2">
      <c r="A789" s="139" t="s">
        <v>1296</v>
      </c>
      <c r="B789" s="480" t="s">
        <v>1297</v>
      </c>
      <c r="C789" s="476"/>
      <c r="D789" s="476"/>
      <c r="E789" s="155">
        <v>0</v>
      </c>
      <c r="F789" s="155">
        <v>280680.78999999998</v>
      </c>
      <c r="G789" s="22"/>
      <c r="H789" s="155">
        <v>0</v>
      </c>
      <c r="I789" s="22"/>
      <c r="J789" s="155">
        <v>280680.78999999998</v>
      </c>
      <c r="K789" s="22">
        <f t="shared" si="12"/>
        <v>280680.78999999998</v>
      </c>
    </row>
    <row r="790" spans="1:11" ht="15.95" customHeight="1" x14ac:dyDescent="0.2">
      <c r="A790" s="139" t="s">
        <v>1859</v>
      </c>
      <c r="B790" s="480" t="s">
        <v>1860</v>
      </c>
      <c r="C790" s="476"/>
      <c r="D790" s="476"/>
      <c r="E790" s="155">
        <v>0</v>
      </c>
      <c r="F790" s="155">
        <v>5038.2700000000004</v>
      </c>
      <c r="G790" s="22"/>
      <c r="H790" s="155">
        <v>5038.2700000000004</v>
      </c>
      <c r="I790" s="22"/>
      <c r="J790" s="155">
        <v>0</v>
      </c>
      <c r="K790" s="22">
        <f t="shared" si="12"/>
        <v>0</v>
      </c>
    </row>
    <row r="791" spans="1:11" ht="15.95" customHeight="1" x14ac:dyDescent="0.2">
      <c r="A791" s="139" t="s">
        <v>1298</v>
      </c>
      <c r="B791" s="480" t="s">
        <v>1203</v>
      </c>
      <c r="C791" s="476"/>
      <c r="D791" s="476"/>
      <c r="E791" s="155">
        <v>0</v>
      </c>
      <c r="F791" s="155">
        <v>2930</v>
      </c>
      <c r="G791" s="22"/>
      <c r="H791" s="155">
        <v>0</v>
      </c>
      <c r="I791" s="22"/>
      <c r="J791" s="155">
        <v>2930</v>
      </c>
      <c r="K791" s="22">
        <f t="shared" si="12"/>
        <v>2930</v>
      </c>
    </row>
    <row r="792" spans="1:11" ht="15.95" customHeight="1" x14ac:dyDescent="0.2">
      <c r="A792" s="139" t="s">
        <v>1299</v>
      </c>
      <c r="B792" s="480" t="s">
        <v>1300</v>
      </c>
      <c r="C792" s="476"/>
      <c r="D792" s="476"/>
      <c r="E792" s="155">
        <v>0</v>
      </c>
      <c r="F792" s="155">
        <v>670</v>
      </c>
      <c r="G792" s="22"/>
      <c r="H792" s="155">
        <v>0</v>
      </c>
      <c r="I792" s="22"/>
      <c r="J792" s="155">
        <v>670</v>
      </c>
      <c r="K792" s="22">
        <f t="shared" si="12"/>
        <v>670</v>
      </c>
    </row>
    <row r="793" spans="1:11" ht="15.95" customHeight="1" x14ac:dyDescent="0.2">
      <c r="A793" s="139" t="s">
        <v>1301</v>
      </c>
      <c r="B793" s="480" t="s">
        <v>1302</v>
      </c>
      <c r="C793" s="476"/>
      <c r="D793" s="476"/>
      <c r="E793" s="155">
        <v>0</v>
      </c>
      <c r="F793" s="155">
        <v>27480.1</v>
      </c>
      <c r="G793" s="22"/>
      <c r="H793" s="155">
        <v>0</v>
      </c>
      <c r="I793" s="22"/>
      <c r="J793" s="155">
        <v>27480.1</v>
      </c>
      <c r="K793" s="22">
        <f t="shared" si="12"/>
        <v>27480.1</v>
      </c>
    </row>
    <row r="794" spans="1:11" ht="15.95" customHeight="1" x14ac:dyDescent="0.2">
      <c r="A794" s="139" t="s">
        <v>1303</v>
      </c>
      <c r="B794" s="480" t="s">
        <v>1304</v>
      </c>
      <c r="C794" s="476"/>
      <c r="D794" s="476"/>
      <c r="E794" s="155">
        <v>0</v>
      </c>
      <c r="F794" s="155">
        <v>557733.16</v>
      </c>
      <c r="G794" s="22"/>
      <c r="H794" s="155" t="s">
        <v>921</v>
      </c>
      <c r="I794" s="22"/>
      <c r="J794" s="155">
        <v>557733.15</v>
      </c>
      <c r="K794" s="22">
        <f t="shared" si="12"/>
        <v>557733.15</v>
      </c>
    </row>
    <row r="795" spans="1:11" ht="15.95" customHeight="1" x14ac:dyDescent="0.2">
      <c r="A795" s="139" t="s">
        <v>1305</v>
      </c>
      <c r="B795" s="480" t="s">
        <v>1306</v>
      </c>
      <c r="C795" s="476"/>
      <c r="D795" s="476"/>
      <c r="E795" s="155">
        <v>0</v>
      </c>
      <c r="F795" s="155">
        <v>1749367.18</v>
      </c>
      <c r="G795" s="22"/>
      <c r="H795" s="155">
        <v>0</v>
      </c>
      <c r="I795" s="22"/>
      <c r="J795" s="155">
        <v>1749367.18</v>
      </c>
      <c r="K795" s="22">
        <f t="shared" si="12"/>
        <v>1749367.18</v>
      </c>
    </row>
    <row r="796" spans="1:11" ht="15.95" customHeight="1" x14ac:dyDescent="0.2">
      <c r="A796" s="139" t="s">
        <v>1307</v>
      </c>
      <c r="B796" s="480" t="s">
        <v>1308</v>
      </c>
      <c r="C796" s="476"/>
      <c r="D796" s="476"/>
      <c r="E796" s="155">
        <v>0</v>
      </c>
      <c r="F796" s="155">
        <v>21699.9</v>
      </c>
      <c r="G796" s="22"/>
      <c r="H796" s="155">
        <v>0</v>
      </c>
      <c r="I796" s="22"/>
      <c r="J796" s="155">
        <v>21699.9</v>
      </c>
      <c r="K796" s="22">
        <f t="shared" si="12"/>
        <v>21699.9</v>
      </c>
    </row>
    <row r="797" spans="1:11" ht="15.95" customHeight="1" x14ac:dyDescent="0.2">
      <c r="A797" s="139" t="s">
        <v>1309</v>
      </c>
      <c r="B797" s="480" t="s">
        <v>1310</v>
      </c>
      <c r="C797" s="476"/>
      <c r="D797" s="476"/>
      <c r="E797" s="155">
        <v>0</v>
      </c>
      <c r="F797" s="155">
        <v>105873.8</v>
      </c>
      <c r="G797" s="22"/>
      <c r="H797" s="155">
        <v>0</v>
      </c>
      <c r="I797" s="22"/>
      <c r="J797" s="155">
        <v>105873.8</v>
      </c>
      <c r="K797" s="22">
        <f t="shared" si="12"/>
        <v>105873.8</v>
      </c>
    </row>
    <row r="798" spans="1:11" ht="15.95" customHeight="1" x14ac:dyDescent="0.2">
      <c r="A798" s="139" t="s">
        <v>1311</v>
      </c>
      <c r="B798" s="480" t="s">
        <v>1312</v>
      </c>
      <c r="C798" s="476"/>
      <c r="D798" s="476"/>
      <c r="E798" s="155">
        <v>0</v>
      </c>
      <c r="F798" s="155">
        <v>5850</v>
      </c>
      <c r="G798" s="22"/>
      <c r="H798" s="155">
        <v>0</v>
      </c>
      <c r="I798" s="22"/>
      <c r="J798" s="155">
        <v>5850</v>
      </c>
      <c r="K798" s="22">
        <f t="shared" si="12"/>
        <v>5850</v>
      </c>
    </row>
    <row r="799" spans="1:11" ht="15.95" customHeight="1" x14ac:dyDescent="0.2">
      <c r="A799" s="139" t="s">
        <v>1313</v>
      </c>
      <c r="B799" s="480" t="s">
        <v>1314</v>
      </c>
      <c r="C799" s="476"/>
      <c r="D799" s="476"/>
      <c r="E799" s="155">
        <v>0</v>
      </c>
      <c r="F799" s="155">
        <v>37500</v>
      </c>
      <c r="G799" s="22"/>
      <c r="H799" s="155">
        <v>0</v>
      </c>
      <c r="I799" s="22"/>
      <c r="J799" s="155">
        <v>37500</v>
      </c>
      <c r="K799" s="22">
        <f t="shared" si="12"/>
        <v>37500</v>
      </c>
    </row>
    <row r="800" spans="1:11" ht="15.95" customHeight="1" x14ac:dyDescent="0.2">
      <c r="A800" s="139" t="s">
        <v>1315</v>
      </c>
      <c r="B800" s="480" t="s">
        <v>1316</v>
      </c>
      <c r="C800" s="476"/>
      <c r="D800" s="476"/>
      <c r="E800" s="155">
        <v>0</v>
      </c>
      <c r="F800" s="155">
        <v>15000</v>
      </c>
      <c r="G800" s="22"/>
      <c r="H800" s="155">
        <v>0</v>
      </c>
      <c r="I800" s="22"/>
      <c r="J800" s="155">
        <v>15000</v>
      </c>
      <c r="K800" s="22">
        <f t="shared" si="12"/>
        <v>15000</v>
      </c>
    </row>
    <row r="801" spans="1:11" ht="15.95" customHeight="1" x14ac:dyDescent="0.2">
      <c r="A801" s="139" t="s">
        <v>1317</v>
      </c>
      <c r="B801" s="480" t="s">
        <v>1318</v>
      </c>
      <c r="C801" s="476"/>
      <c r="D801" s="476"/>
      <c r="E801" s="155">
        <v>0</v>
      </c>
      <c r="F801" s="155">
        <v>1415.1</v>
      </c>
      <c r="G801" s="22"/>
      <c r="H801" s="155">
        <v>0</v>
      </c>
      <c r="I801" s="22"/>
      <c r="J801" s="155">
        <v>1415.1</v>
      </c>
      <c r="K801" s="22">
        <f t="shared" si="12"/>
        <v>1415.1</v>
      </c>
    </row>
    <row r="802" spans="1:11" ht="15.95" customHeight="1" x14ac:dyDescent="0.2">
      <c r="A802" s="139" t="s">
        <v>1319</v>
      </c>
      <c r="B802" s="480" t="s">
        <v>1320</v>
      </c>
      <c r="C802" s="476"/>
      <c r="D802" s="476"/>
      <c r="E802" s="155">
        <v>0</v>
      </c>
      <c r="F802" s="155">
        <v>661153.72</v>
      </c>
      <c r="G802" s="22"/>
      <c r="H802" s="155">
        <v>0</v>
      </c>
      <c r="I802" s="22"/>
      <c r="J802" s="155">
        <v>661153.72</v>
      </c>
      <c r="K802" s="22">
        <f t="shared" si="12"/>
        <v>661153.72</v>
      </c>
    </row>
    <row r="803" spans="1:11" ht="15.95" customHeight="1" x14ac:dyDescent="0.2">
      <c r="A803" s="139" t="s">
        <v>1321</v>
      </c>
      <c r="B803" s="480" t="s">
        <v>1322</v>
      </c>
      <c r="C803" s="476"/>
      <c r="D803" s="476"/>
      <c r="E803" s="155">
        <v>0</v>
      </c>
      <c r="F803" s="155">
        <v>400</v>
      </c>
      <c r="G803" s="22"/>
      <c r="H803" s="155">
        <v>0</v>
      </c>
      <c r="I803" s="22"/>
      <c r="J803" s="155">
        <v>400</v>
      </c>
      <c r="K803" s="22">
        <f t="shared" si="12"/>
        <v>400</v>
      </c>
    </row>
    <row r="804" spans="1:11" ht="15.95" customHeight="1" x14ac:dyDescent="0.2">
      <c r="A804" s="139" t="s">
        <v>1323</v>
      </c>
      <c r="B804" s="480" t="s">
        <v>1324</v>
      </c>
      <c r="C804" s="476"/>
      <c r="D804" s="476"/>
      <c r="E804" s="155">
        <v>0</v>
      </c>
      <c r="F804" s="155">
        <v>17362</v>
      </c>
      <c r="G804" s="22"/>
      <c r="H804" s="155">
        <v>0</v>
      </c>
      <c r="I804" s="22"/>
      <c r="J804" s="155">
        <v>17362</v>
      </c>
      <c r="K804" s="22">
        <f t="shared" si="12"/>
        <v>17362</v>
      </c>
    </row>
    <row r="805" spans="1:11" ht="15.95" customHeight="1" x14ac:dyDescent="0.2">
      <c r="A805" s="139">
        <v>5110104</v>
      </c>
      <c r="B805" s="480" t="s">
        <v>1325</v>
      </c>
      <c r="C805" s="476"/>
      <c r="D805" s="476"/>
      <c r="E805" s="155">
        <v>0</v>
      </c>
      <c r="F805" s="155">
        <v>126786.33</v>
      </c>
      <c r="G805" s="22"/>
      <c r="H805" s="155">
        <v>5</v>
      </c>
      <c r="I805" s="22"/>
      <c r="J805" s="155">
        <v>126781.33</v>
      </c>
      <c r="K805" s="22">
        <f t="shared" si="12"/>
        <v>126781.33</v>
      </c>
    </row>
    <row r="806" spans="1:11" ht="15.95" customHeight="1" x14ac:dyDescent="0.2">
      <c r="A806" s="139" t="s">
        <v>1326</v>
      </c>
      <c r="B806" s="480" t="s">
        <v>182</v>
      </c>
      <c r="C806" s="476"/>
      <c r="D806" s="476"/>
      <c r="E806" s="155">
        <v>0</v>
      </c>
      <c r="F806" s="155">
        <v>22735.599999999999</v>
      </c>
      <c r="G806" s="22"/>
      <c r="H806" s="155">
        <v>0</v>
      </c>
      <c r="I806" s="22"/>
      <c r="J806" s="155">
        <v>22735.599999999999</v>
      </c>
      <c r="K806" s="22">
        <f t="shared" si="12"/>
        <v>22735.599999999999</v>
      </c>
    </row>
    <row r="807" spans="1:11" ht="15.95" customHeight="1" x14ac:dyDescent="0.2">
      <c r="A807" s="139" t="s">
        <v>1327</v>
      </c>
      <c r="B807" s="480" t="s">
        <v>1328</v>
      </c>
      <c r="C807" s="476"/>
      <c r="D807" s="476"/>
      <c r="E807" s="155">
        <v>0</v>
      </c>
      <c r="F807" s="155">
        <v>13321.02</v>
      </c>
      <c r="G807" s="22"/>
      <c r="H807" s="155">
        <v>0</v>
      </c>
      <c r="I807" s="22"/>
      <c r="J807" s="155">
        <v>13321.02</v>
      </c>
      <c r="K807" s="22">
        <f t="shared" si="12"/>
        <v>13321.02</v>
      </c>
    </row>
    <row r="808" spans="1:11" ht="15.95" customHeight="1" x14ac:dyDescent="0.2">
      <c r="A808" s="139" t="s">
        <v>1329</v>
      </c>
      <c r="B808" s="480" t="s">
        <v>1330</v>
      </c>
      <c r="C808" s="476"/>
      <c r="D808" s="476"/>
      <c r="E808" s="155">
        <v>0</v>
      </c>
      <c r="F808" s="155">
        <v>11071.58</v>
      </c>
      <c r="G808" s="22"/>
      <c r="H808" s="155">
        <v>0</v>
      </c>
      <c r="I808" s="22"/>
      <c r="J808" s="155">
        <v>11071.58</v>
      </c>
      <c r="K808" s="22">
        <f t="shared" si="12"/>
        <v>11071.58</v>
      </c>
    </row>
    <row r="809" spans="1:11" ht="15.95" customHeight="1" x14ac:dyDescent="0.2">
      <c r="A809" s="139" t="s">
        <v>1331</v>
      </c>
      <c r="B809" s="480" t="s">
        <v>1332</v>
      </c>
      <c r="C809" s="476"/>
      <c r="D809" s="476"/>
      <c r="E809" s="155">
        <v>0</v>
      </c>
      <c r="F809" s="155">
        <v>152.69</v>
      </c>
      <c r="G809" s="22"/>
      <c r="H809" s="155">
        <v>0</v>
      </c>
      <c r="I809" s="22"/>
      <c r="J809" s="155">
        <v>152.69</v>
      </c>
      <c r="K809" s="22">
        <f t="shared" si="12"/>
        <v>152.69</v>
      </c>
    </row>
    <row r="810" spans="1:11" ht="15.95" customHeight="1" x14ac:dyDescent="0.2">
      <c r="A810" s="139" t="s">
        <v>1333</v>
      </c>
      <c r="B810" s="480" t="s">
        <v>186</v>
      </c>
      <c r="C810" s="476"/>
      <c r="D810" s="476"/>
      <c r="E810" s="155">
        <v>0</v>
      </c>
      <c r="F810" s="155">
        <v>5674</v>
      </c>
      <c r="G810" s="22"/>
      <c r="H810" s="155">
        <v>0</v>
      </c>
      <c r="I810" s="22"/>
      <c r="J810" s="155">
        <v>5674</v>
      </c>
      <c r="K810" s="22">
        <f t="shared" si="12"/>
        <v>5674</v>
      </c>
    </row>
    <row r="811" spans="1:11" ht="15.95" customHeight="1" x14ac:dyDescent="0.2">
      <c r="A811" s="139" t="s">
        <v>1334</v>
      </c>
      <c r="B811" s="480" t="s">
        <v>1335</v>
      </c>
      <c r="C811" s="476"/>
      <c r="D811" s="476"/>
      <c r="E811" s="155">
        <v>0</v>
      </c>
      <c r="F811" s="155">
        <v>599.59</v>
      </c>
      <c r="G811" s="22"/>
      <c r="H811" s="155">
        <v>0</v>
      </c>
      <c r="I811" s="22"/>
      <c r="J811" s="155">
        <v>599.59</v>
      </c>
      <c r="K811" s="22">
        <f t="shared" si="12"/>
        <v>599.59</v>
      </c>
    </row>
    <row r="812" spans="1:11" ht="27.95" customHeight="1" x14ac:dyDescent="0.2">
      <c r="A812" s="139" t="s">
        <v>1336</v>
      </c>
      <c r="B812" s="480" t="s">
        <v>188</v>
      </c>
      <c r="C812" s="476"/>
      <c r="D812" s="476"/>
      <c r="E812" s="155">
        <v>0</v>
      </c>
      <c r="F812" s="155">
        <v>1971.24</v>
      </c>
      <c r="G812" s="22"/>
      <c r="H812" s="155">
        <v>0</v>
      </c>
      <c r="I812" s="22"/>
      <c r="J812" s="155">
        <v>1971.24</v>
      </c>
      <c r="K812" s="22">
        <f t="shared" si="12"/>
        <v>1971.24</v>
      </c>
    </row>
    <row r="813" spans="1:11" ht="15.95" customHeight="1" x14ac:dyDescent="0.2">
      <c r="A813" s="139" t="s">
        <v>1337</v>
      </c>
      <c r="B813" s="480" t="s">
        <v>1227</v>
      </c>
      <c r="C813" s="476"/>
      <c r="D813" s="476"/>
      <c r="E813" s="155">
        <v>0</v>
      </c>
      <c r="F813" s="155">
        <v>19815.32</v>
      </c>
      <c r="G813" s="22"/>
      <c r="H813" s="155">
        <v>0</v>
      </c>
      <c r="I813" s="22"/>
      <c r="J813" s="155">
        <v>19815.32</v>
      </c>
      <c r="K813" s="22">
        <f t="shared" si="12"/>
        <v>19815.32</v>
      </c>
    </row>
    <row r="814" spans="1:11" ht="15.95" customHeight="1" x14ac:dyDescent="0.2">
      <c r="A814" s="139" t="s">
        <v>1338</v>
      </c>
      <c r="B814" s="480" t="s">
        <v>1224</v>
      </c>
      <c r="C814" s="476"/>
      <c r="D814" s="476"/>
      <c r="E814" s="155">
        <v>0</v>
      </c>
      <c r="F814" s="155">
        <v>37441.61</v>
      </c>
      <c r="G814" s="22"/>
      <c r="H814" s="155">
        <v>0</v>
      </c>
      <c r="I814" s="22"/>
      <c r="J814" s="155">
        <v>37441.61</v>
      </c>
      <c r="K814" s="22">
        <f t="shared" si="12"/>
        <v>37441.61</v>
      </c>
    </row>
    <row r="815" spans="1:11" ht="15.95" customHeight="1" x14ac:dyDescent="0.2">
      <c r="A815" s="139" t="s">
        <v>1339</v>
      </c>
      <c r="B815" s="480" t="s">
        <v>1340</v>
      </c>
      <c r="C815" s="476"/>
      <c r="D815" s="476"/>
      <c r="E815" s="155">
        <v>0</v>
      </c>
      <c r="F815" s="155">
        <v>13007.68</v>
      </c>
      <c r="G815" s="22"/>
      <c r="H815" s="155">
        <v>5</v>
      </c>
      <c r="I815" s="22"/>
      <c r="J815" s="155">
        <v>13002.68</v>
      </c>
      <c r="K815" s="22">
        <f t="shared" si="12"/>
        <v>13002.68</v>
      </c>
    </row>
    <row r="816" spans="1:11" ht="15.95" customHeight="1" x14ac:dyDescent="0.2">
      <c r="A816" s="139" t="s">
        <v>1341</v>
      </c>
      <c r="B816" s="480" t="s">
        <v>1230</v>
      </c>
      <c r="C816" s="476"/>
      <c r="D816" s="476"/>
      <c r="E816" s="155">
        <v>0</v>
      </c>
      <c r="F816" s="155">
        <v>852</v>
      </c>
      <c r="G816" s="22"/>
      <c r="H816" s="155">
        <v>0</v>
      </c>
      <c r="I816" s="22"/>
      <c r="J816" s="155">
        <v>852</v>
      </c>
      <c r="K816" s="22">
        <f t="shared" si="12"/>
        <v>852</v>
      </c>
    </row>
    <row r="817" spans="1:12" ht="15.95" customHeight="1" x14ac:dyDescent="0.2">
      <c r="A817" s="139" t="s">
        <v>1342</v>
      </c>
      <c r="B817" s="480" t="s">
        <v>196</v>
      </c>
      <c r="C817" s="476"/>
      <c r="D817" s="476"/>
      <c r="E817" s="155">
        <v>0</v>
      </c>
      <c r="F817" s="155">
        <v>144</v>
      </c>
      <c r="G817" s="22"/>
      <c r="H817" s="155">
        <v>0</v>
      </c>
      <c r="I817" s="22"/>
      <c r="J817" s="155">
        <v>144</v>
      </c>
      <c r="K817" s="22">
        <f t="shared" si="12"/>
        <v>144</v>
      </c>
    </row>
    <row r="818" spans="1:12" ht="15.95" customHeight="1" x14ac:dyDescent="0.2">
      <c r="A818" s="139">
        <v>5110105</v>
      </c>
      <c r="B818" s="480" t="s">
        <v>1343</v>
      </c>
      <c r="C818" s="476"/>
      <c r="D818" s="476"/>
      <c r="E818" s="155">
        <v>0</v>
      </c>
      <c r="F818" s="155">
        <v>4224646.82</v>
      </c>
      <c r="G818" s="22"/>
      <c r="H818" s="155">
        <v>90701.9</v>
      </c>
      <c r="I818" s="22"/>
      <c r="J818" s="155">
        <v>4133944.92</v>
      </c>
      <c r="K818" s="22">
        <f t="shared" si="12"/>
        <v>4133944.92</v>
      </c>
    </row>
    <row r="819" spans="1:12" ht="15.95" customHeight="1" x14ac:dyDescent="0.2">
      <c r="A819" s="139" t="s">
        <v>1344</v>
      </c>
      <c r="B819" s="480" t="s">
        <v>1239</v>
      </c>
      <c r="C819" s="476"/>
      <c r="D819" s="476"/>
      <c r="E819" s="155">
        <v>0</v>
      </c>
      <c r="F819" s="155">
        <v>577633.4</v>
      </c>
      <c r="G819" s="22"/>
      <c r="H819" s="155">
        <v>0</v>
      </c>
      <c r="I819" s="22"/>
      <c r="J819" s="155">
        <v>577633.4</v>
      </c>
      <c r="K819" s="22">
        <f t="shared" si="12"/>
        <v>577633.4</v>
      </c>
    </row>
    <row r="820" spans="1:12" ht="15.95" customHeight="1" x14ac:dyDescent="0.2">
      <c r="A820" s="139" t="s">
        <v>1345</v>
      </c>
      <c r="B820" s="480" t="s">
        <v>1346</v>
      </c>
      <c r="C820" s="476"/>
      <c r="D820" s="476"/>
      <c r="E820" s="155">
        <v>0</v>
      </c>
      <c r="F820" s="155">
        <v>13938.25</v>
      </c>
      <c r="G820" s="22"/>
      <c r="H820" s="155">
        <v>0</v>
      </c>
      <c r="I820" s="22"/>
      <c r="J820" s="155">
        <v>13938.25</v>
      </c>
      <c r="K820" s="22">
        <f t="shared" si="12"/>
        <v>13938.25</v>
      </c>
    </row>
    <row r="821" spans="1:12" ht="15.95" customHeight="1" x14ac:dyDescent="0.2">
      <c r="A821" s="139" t="s">
        <v>1347</v>
      </c>
      <c r="B821" s="480" t="s">
        <v>1348</v>
      </c>
      <c r="C821" s="476"/>
      <c r="D821" s="476"/>
      <c r="E821" s="155">
        <v>0</v>
      </c>
      <c r="F821" s="155">
        <v>34800.75</v>
      </c>
      <c r="G821" s="22"/>
      <c r="H821" s="155">
        <v>0</v>
      </c>
      <c r="I821" s="22"/>
      <c r="J821" s="155">
        <v>34800.75</v>
      </c>
      <c r="K821" s="22">
        <f t="shared" si="12"/>
        <v>34800.75</v>
      </c>
    </row>
    <row r="822" spans="1:12" ht="15.95" customHeight="1" x14ac:dyDescent="0.2">
      <c r="A822" s="139" t="s">
        <v>1349</v>
      </c>
      <c r="B822" s="480" t="s">
        <v>1243</v>
      </c>
      <c r="C822" s="476"/>
      <c r="D822" s="476"/>
      <c r="E822" s="155">
        <v>0</v>
      </c>
      <c r="F822" s="155">
        <v>13527.9</v>
      </c>
      <c r="G822" s="22"/>
      <c r="H822" s="155">
        <v>0</v>
      </c>
      <c r="I822" s="22"/>
      <c r="J822" s="155">
        <v>13527.9</v>
      </c>
      <c r="K822" s="22">
        <f t="shared" si="12"/>
        <v>13527.9</v>
      </c>
    </row>
    <row r="823" spans="1:12" ht="15.95" customHeight="1" x14ac:dyDescent="0.2">
      <c r="A823" s="139" t="s">
        <v>1350</v>
      </c>
      <c r="B823" s="480" t="s">
        <v>1351</v>
      </c>
      <c r="C823" s="476"/>
      <c r="D823" s="476"/>
      <c r="E823" s="155">
        <v>0</v>
      </c>
      <c r="F823" s="155">
        <v>1974.55</v>
      </c>
      <c r="G823" s="22"/>
      <c r="H823" s="155" t="s">
        <v>1861</v>
      </c>
      <c r="I823" s="22"/>
      <c r="J823" s="155">
        <v>1974.52</v>
      </c>
      <c r="K823" s="22">
        <f t="shared" si="12"/>
        <v>1974.52</v>
      </c>
    </row>
    <row r="824" spans="1:12" ht="15.95" customHeight="1" x14ac:dyDescent="0.2">
      <c r="A824" s="139" t="s">
        <v>1352</v>
      </c>
      <c r="B824" s="480" t="s">
        <v>1353</v>
      </c>
      <c r="C824" s="476"/>
      <c r="D824" s="476"/>
      <c r="E824" s="155">
        <v>0</v>
      </c>
      <c r="F824" s="155">
        <v>39.78</v>
      </c>
      <c r="G824" s="22"/>
      <c r="H824" s="155">
        <v>0</v>
      </c>
      <c r="I824" s="22"/>
      <c r="J824" s="155">
        <v>39.78</v>
      </c>
      <c r="K824" s="22">
        <f t="shared" si="12"/>
        <v>39.78</v>
      </c>
    </row>
    <row r="825" spans="1:12" ht="15.95" customHeight="1" x14ac:dyDescent="0.2">
      <c r="A825" s="139" t="s">
        <v>1354</v>
      </c>
      <c r="B825" s="480" t="s">
        <v>1355</v>
      </c>
      <c r="C825" s="476"/>
      <c r="D825" s="476"/>
      <c r="E825" s="155">
        <v>0</v>
      </c>
      <c r="F825" s="155">
        <v>25588.92</v>
      </c>
      <c r="G825" s="22"/>
      <c r="H825" s="155">
        <v>0</v>
      </c>
      <c r="I825" s="22"/>
      <c r="J825" s="155">
        <v>25588.92</v>
      </c>
      <c r="K825" s="22">
        <f t="shared" si="12"/>
        <v>25588.92</v>
      </c>
    </row>
    <row r="826" spans="1:12" ht="15.95" customHeight="1" x14ac:dyDescent="0.2">
      <c r="A826" s="139" t="s">
        <v>1356</v>
      </c>
      <c r="B826" s="480" t="s">
        <v>200</v>
      </c>
      <c r="C826" s="476"/>
      <c r="D826" s="476"/>
      <c r="E826" s="155">
        <v>0</v>
      </c>
      <c r="F826" s="155">
        <v>141741.63</v>
      </c>
      <c r="G826" s="22"/>
      <c r="H826" s="155">
        <v>0</v>
      </c>
      <c r="I826" s="22"/>
      <c r="J826" s="155">
        <v>141741.63</v>
      </c>
      <c r="K826" s="22">
        <f t="shared" si="12"/>
        <v>141741.63</v>
      </c>
    </row>
    <row r="827" spans="1:12" ht="15.95" customHeight="1" x14ac:dyDescent="0.2">
      <c r="A827" s="139" t="s">
        <v>1357</v>
      </c>
      <c r="B827" s="480" t="s">
        <v>1358</v>
      </c>
      <c r="C827" s="476"/>
      <c r="D827" s="476"/>
      <c r="E827" s="155">
        <v>0</v>
      </c>
      <c r="F827" s="155">
        <v>91694.2</v>
      </c>
      <c r="G827" s="22"/>
      <c r="H827" s="155">
        <v>1056.68</v>
      </c>
      <c r="I827" s="22"/>
      <c r="J827" s="155">
        <v>90637.52</v>
      </c>
      <c r="K827" s="22">
        <f t="shared" si="12"/>
        <v>90637.52</v>
      </c>
    </row>
    <row r="828" spans="1:12" ht="15.95" customHeight="1" x14ac:dyDescent="0.2">
      <c r="A828" s="139" t="s">
        <v>1359</v>
      </c>
      <c r="B828" s="480" t="s">
        <v>1360</v>
      </c>
      <c r="C828" s="476"/>
      <c r="D828" s="476"/>
      <c r="E828" s="155">
        <v>0</v>
      </c>
      <c r="F828" s="155">
        <v>6393.66</v>
      </c>
      <c r="G828" s="22"/>
      <c r="H828" s="155">
        <v>0</v>
      </c>
      <c r="I828" s="22"/>
      <c r="J828" s="155">
        <v>6393.66</v>
      </c>
      <c r="K828" s="22">
        <f t="shared" si="12"/>
        <v>6393.66</v>
      </c>
    </row>
    <row r="829" spans="1:12" ht="15.95" customHeight="1" x14ac:dyDescent="0.2">
      <c r="A829" s="141" t="s">
        <v>1361</v>
      </c>
      <c r="B829" s="481" t="s">
        <v>1362</v>
      </c>
      <c r="C829" s="482"/>
      <c r="D829" s="482"/>
      <c r="E829" s="156">
        <v>0</v>
      </c>
      <c r="F829" s="156">
        <v>2814200.06</v>
      </c>
      <c r="G829" s="25"/>
      <c r="H829" s="156">
        <v>89489.01</v>
      </c>
      <c r="I829" s="25"/>
      <c r="J829" s="156">
        <v>2724711.05</v>
      </c>
      <c r="K829" s="25">
        <f t="shared" si="12"/>
        <v>2724711.05</v>
      </c>
    </row>
    <row r="830" spans="1:12" ht="15.95" customHeight="1" x14ac:dyDescent="0.2">
      <c r="A830" s="141" t="s">
        <v>1363</v>
      </c>
      <c r="B830" s="481" t="s">
        <v>1364</v>
      </c>
      <c r="C830" s="482"/>
      <c r="D830" s="482"/>
      <c r="E830" s="156">
        <v>0</v>
      </c>
      <c r="F830" s="156">
        <v>339976.82</v>
      </c>
      <c r="G830" s="25"/>
      <c r="H830" s="156">
        <v>0</v>
      </c>
      <c r="I830" s="25"/>
      <c r="J830" s="156">
        <v>339976.82</v>
      </c>
      <c r="K830" s="25">
        <f t="shared" si="12"/>
        <v>339976.82</v>
      </c>
      <c r="L830" s="22">
        <f>K830+K829+K752+K751</f>
        <v>11454441.57</v>
      </c>
    </row>
    <row r="831" spans="1:12" ht="15.95" customHeight="1" x14ac:dyDescent="0.2">
      <c r="A831" s="139" t="s">
        <v>1365</v>
      </c>
      <c r="B831" s="480" t="s">
        <v>1366</v>
      </c>
      <c r="C831" s="476"/>
      <c r="D831" s="476"/>
      <c r="E831" s="155">
        <v>0</v>
      </c>
      <c r="F831" s="155">
        <v>20480</v>
      </c>
      <c r="G831" s="22"/>
      <c r="H831" s="155">
        <v>0</v>
      </c>
      <c r="I831" s="22"/>
      <c r="J831" s="155">
        <v>20480</v>
      </c>
      <c r="K831" s="22">
        <f t="shared" si="12"/>
        <v>20480</v>
      </c>
    </row>
    <row r="832" spans="1:12" ht="15.95" customHeight="1" x14ac:dyDescent="0.2">
      <c r="A832" s="139" t="s">
        <v>1367</v>
      </c>
      <c r="B832" s="480" t="s">
        <v>1368</v>
      </c>
      <c r="C832" s="476"/>
      <c r="D832" s="476"/>
      <c r="E832" s="155">
        <v>0</v>
      </c>
      <c r="F832" s="155">
        <v>32305.56</v>
      </c>
      <c r="G832" s="22"/>
      <c r="H832" s="155">
        <v>0</v>
      </c>
      <c r="I832" s="22"/>
      <c r="J832" s="155">
        <v>32305.56</v>
      </c>
      <c r="K832" s="22">
        <f t="shared" si="12"/>
        <v>32305.56</v>
      </c>
    </row>
    <row r="833" spans="1:11" ht="15.95" customHeight="1" x14ac:dyDescent="0.2">
      <c r="A833" s="139" t="s">
        <v>1369</v>
      </c>
      <c r="B833" s="480" t="s">
        <v>1370</v>
      </c>
      <c r="C833" s="476"/>
      <c r="D833" s="476"/>
      <c r="E833" s="155">
        <v>0</v>
      </c>
      <c r="F833" s="155">
        <v>48</v>
      </c>
      <c r="G833" s="22"/>
      <c r="H833" s="155">
        <v>0</v>
      </c>
      <c r="I833" s="22"/>
      <c r="J833" s="155">
        <v>48</v>
      </c>
      <c r="K833" s="22">
        <f t="shared" si="12"/>
        <v>48</v>
      </c>
    </row>
    <row r="834" spans="1:11" ht="15.95" customHeight="1" x14ac:dyDescent="0.2">
      <c r="A834" s="139" t="s">
        <v>1371</v>
      </c>
      <c r="B834" s="480" t="s">
        <v>1372</v>
      </c>
      <c r="C834" s="476"/>
      <c r="D834" s="476"/>
      <c r="E834" s="155">
        <v>0</v>
      </c>
      <c r="F834" s="155">
        <v>1070</v>
      </c>
      <c r="G834" s="22"/>
      <c r="H834" s="155">
        <v>0</v>
      </c>
      <c r="I834" s="22"/>
      <c r="J834" s="155">
        <v>1070</v>
      </c>
      <c r="K834" s="22">
        <f t="shared" si="12"/>
        <v>1070</v>
      </c>
    </row>
    <row r="835" spans="1:11" ht="15.95" customHeight="1" x14ac:dyDescent="0.2">
      <c r="A835" s="139" t="s">
        <v>1373</v>
      </c>
      <c r="B835" s="480" t="s">
        <v>202</v>
      </c>
      <c r="C835" s="476"/>
      <c r="D835" s="476"/>
      <c r="E835" s="155">
        <v>0</v>
      </c>
      <c r="F835" s="155">
        <v>101367.33</v>
      </c>
      <c r="G835" s="22"/>
      <c r="H835" s="155">
        <v>0</v>
      </c>
      <c r="I835" s="22"/>
      <c r="J835" s="155">
        <v>101367.33</v>
      </c>
      <c r="K835" s="22">
        <f t="shared" si="12"/>
        <v>101367.33</v>
      </c>
    </row>
    <row r="836" spans="1:11" ht="15.95" customHeight="1" x14ac:dyDescent="0.2">
      <c r="A836" s="139" t="s">
        <v>1862</v>
      </c>
      <c r="B836" s="480" t="s">
        <v>1863</v>
      </c>
      <c r="C836" s="476"/>
      <c r="D836" s="476"/>
      <c r="E836" s="155">
        <v>0</v>
      </c>
      <c r="F836" s="155">
        <v>156.18</v>
      </c>
      <c r="G836" s="22"/>
      <c r="H836" s="155">
        <v>156.18</v>
      </c>
      <c r="I836" s="22"/>
      <c r="J836" s="155">
        <v>0</v>
      </c>
      <c r="K836" s="22">
        <f t="shared" ref="K836:K880" si="13">J836-E836</f>
        <v>0</v>
      </c>
    </row>
    <row r="837" spans="1:11" ht="15.95" customHeight="1" x14ac:dyDescent="0.2">
      <c r="A837" s="139" t="s">
        <v>1374</v>
      </c>
      <c r="B837" s="480" t="s">
        <v>1375</v>
      </c>
      <c r="C837" s="476"/>
      <c r="D837" s="476"/>
      <c r="E837" s="155">
        <v>0</v>
      </c>
      <c r="F837" s="155">
        <v>6564.83</v>
      </c>
      <c r="G837" s="22"/>
      <c r="H837" s="155">
        <v>0</v>
      </c>
      <c r="I837" s="22"/>
      <c r="J837" s="155">
        <v>6564.83</v>
      </c>
      <c r="K837" s="22">
        <f t="shared" si="13"/>
        <v>6564.83</v>
      </c>
    </row>
    <row r="838" spans="1:11" ht="15.95" customHeight="1" x14ac:dyDescent="0.2">
      <c r="A838" s="139" t="s">
        <v>1376</v>
      </c>
      <c r="B838" s="480" t="s">
        <v>1377</v>
      </c>
      <c r="C838" s="476"/>
      <c r="D838" s="476"/>
      <c r="E838" s="155">
        <v>0</v>
      </c>
      <c r="F838" s="155">
        <v>1145</v>
      </c>
      <c r="G838" s="22"/>
      <c r="H838" s="155">
        <v>0</v>
      </c>
      <c r="I838" s="22"/>
      <c r="J838" s="155">
        <v>1145</v>
      </c>
      <c r="K838" s="22">
        <f t="shared" si="13"/>
        <v>1145</v>
      </c>
    </row>
    <row r="839" spans="1:11" ht="15.95" customHeight="1" x14ac:dyDescent="0.2">
      <c r="A839" s="139">
        <v>59</v>
      </c>
      <c r="B839" s="480" t="s">
        <v>1378</v>
      </c>
      <c r="C839" s="476"/>
      <c r="D839" s="476"/>
      <c r="E839" s="155">
        <v>0</v>
      </c>
      <c r="F839" s="155">
        <v>2293746.73</v>
      </c>
      <c r="G839" s="22"/>
      <c r="H839" s="155">
        <v>1043265.45</v>
      </c>
      <c r="I839" s="22"/>
      <c r="J839" s="155">
        <v>1250481.28</v>
      </c>
      <c r="K839" s="22">
        <f t="shared" si="13"/>
        <v>1250481.28</v>
      </c>
    </row>
    <row r="840" spans="1:11" ht="15.95" customHeight="1" x14ac:dyDescent="0.2">
      <c r="A840" s="139">
        <v>591</v>
      </c>
      <c r="B840" s="480" t="s">
        <v>1379</v>
      </c>
      <c r="C840" s="476"/>
      <c r="D840" s="476"/>
      <c r="E840" s="155">
        <v>0</v>
      </c>
      <c r="F840" s="155">
        <v>2293746.73</v>
      </c>
      <c r="G840" s="22"/>
      <c r="H840" s="155">
        <v>1043265.45</v>
      </c>
      <c r="I840" s="22"/>
      <c r="J840" s="155">
        <v>1250481.28</v>
      </c>
      <c r="K840" s="22">
        <f t="shared" si="13"/>
        <v>1250481.28</v>
      </c>
    </row>
    <row r="841" spans="1:11" ht="15.95" customHeight="1" x14ac:dyDescent="0.2">
      <c r="A841" s="139">
        <v>59101</v>
      </c>
      <c r="B841" s="480" t="s">
        <v>1380</v>
      </c>
      <c r="C841" s="476"/>
      <c r="D841" s="476"/>
      <c r="E841" s="155">
        <v>0</v>
      </c>
      <c r="F841" s="155">
        <v>2292789.44</v>
      </c>
      <c r="G841" s="22"/>
      <c r="H841" s="155">
        <v>131068.52</v>
      </c>
      <c r="I841" s="22"/>
      <c r="J841" s="155">
        <v>2161720.92</v>
      </c>
      <c r="K841" s="22">
        <f t="shared" si="13"/>
        <v>2161720.92</v>
      </c>
    </row>
    <row r="842" spans="1:11" ht="15.95" customHeight="1" x14ac:dyDescent="0.2">
      <c r="A842" s="139">
        <v>5910101</v>
      </c>
      <c r="B842" s="480" t="s">
        <v>1380</v>
      </c>
      <c r="C842" s="476"/>
      <c r="D842" s="476"/>
      <c r="E842" s="155">
        <v>0</v>
      </c>
      <c r="F842" s="155">
        <v>2292789.44</v>
      </c>
      <c r="G842" s="22"/>
      <c r="H842" s="155">
        <v>131068.52</v>
      </c>
      <c r="I842" s="22"/>
      <c r="J842" s="155">
        <v>2161720.92</v>
      </c>
      <c r="K842" s="22">
        <f t="shared" si="13"/>
        <v>2161720.92</v>
      </c>
    </row>
    <row r="843" spans="1:11" ht="15.95" customHeight="1" x14ac:dyDescent="0.2">
      <c r="A843" s="139" t="s">
        <v>1381</v>
      </c>
      <c r="B843" s="480" t="s">
        <v>1382</v>
      </c>
      <c r="C843" s="476"/>
      <c r="D843" s="476"/>
      <c r="E843" s="155">
        <v>0</v>
      </c>
      <c r="F843" s="155">
        <v>24570.29</v>
      </c>
      <c r="G843" s="22"/>
      <c r="H843" s="155">
        <v>1198.69</v>
      </c>
      <c r="I843" s="22"/>
      <c r="J843" s="155">
        <v>23371.599999999999</v>
      </c>
      <c r="K843" s="22">
        <f t="shared" si="13"/>
        <v>23371.599999999999</v>
      </c>
    </row>
    <row r="844" spans="1:11" ht="15.95" customHeight="1" x14ac:dyDescent="0.2">
      <c r="A844" s="139" t="s">
        <v>1383</v>
      </c>
      <c r="B844" s="480" t="s">
        <v>1384</v>
      </c>
      <c r="C844" s="476"/>
      <c r="D844" s="476"/>
      <c r="E844" s="155">
        <v>0</v>
      </c>
      <c r="F844" s="155">
        <v>988849.31</v>
      </c>
      <c r="G844" s="22"/>
      <c r="H844" s="155">
        <v>125578.66</v>
      </c>
      <c r="I844" s="22"/>
      <c r="J844" s="155">
        <v>863270.65</v>
      </c>
      <c r="K844" s="22">
        <f t="shared" si="13"/>
        <v>863270.65</v>
      </c>
    </row>
    <row r="845" spans="1:11" ht="15.95" customHeight="1" x14ac:dyDescent="0.2">
      <c r="A845" s="139" t="s">
        <v>1385</v>
      </c>
      <c r="B845" s="480" t="s">
        <v>1386</v>
      </c>
      <c r="C845" s="476"/>
      <c r="D845" s="476"/>
      <c r="E845" s="155">
        <v>0</v>
      </c>
      <c r="F845" s="155">
        <v>2799.71</v>
      </c>
      <c r="G845" s="22"/>
      <c r="H845" s="155">
        <v>3.61</v>
      </c>
      <c r="I845" s="22"/>
      <c r="J845" s="155">
        <v>2796.1</v>
      </c>
      <c r="K845" s="22">
        <f t="shared" si="13"/>
        <v>2796.1</v>
      </c>
    </row>
    <row r="846" spans="1:11" ht="15.95" customHeight="1" x14ac:dyDescent="0.2">
      <c r="A846" s="139" t="s">
        <v>1387</v>
      </c>
      <c r="B846" s="480" t="s">
        <v>1388</v>
      </c>
      <c r="C846" s="476"/>
      <c r="D846" s="476"/>
      <c r="E846" s="155">
        <v>0</v>
      </c>
      <c r="F846" s="155">
        <v>10993.32</v>
      </c>
      <c r="G846" s="22"/>
      <c r="H846" s="155">
        <v>0</v>
      </c>
      <c r="I846" s="22"/>
      <c r="J846" s="155">
        <v>10993.32</v>
      </c>
      <c r="K846" s="22">
        <f t="shared" si="13"/>
        <v>10993.32</v>
      </c>
    </row>
    <row r="847" spans="1:11" ht="15.95" customHeight="1" x14ac:dyDescent="0.2">
      <c r="A847" s="139" t="s">
        <v>1389</v>
      </c>
      <c r="B847" s="480" t="s">
        <v>1390</v>
      </c>
      <c r="C847" s="476"/>
      <c r="D847" s="476"/>
      <c r="E847" s="155">
        <v>0</v>
      </c>
      <c r="F847" s="155">
        <v>1265576.81</v>
      </c>
      <c r="G847" s="22"/>
      <c r="H847" s="155">
        <v>4287.5600000000004</v>
      </c>
      <c r="I847" s="22"/>
      <c r="J847" s="155">
        <v>1261289.25</v>
      </c>
      <c r="K847" s="22">
        <f t="shared" si="13"/>
        <v>1261289.25</v>
      </c>
    </row>
    <row r="848" spans="1:11" ht="15.95" customHeight="1" x14ac:dyDescent="0.2">
      <c r="A848" s="139">
        <v>59102</v>
      </c>
      <c r="B848" s="480" t="s">
        <v>1391</v>
      </c>
      <c r="C848" s="476"/>
      <c r="D848" s="476"/>
      <c r="E848" s="155">
        <v>0</v>
      </c>
      <c r="F848" s="155">
        <v>957.29</v>
      </c>
      <c r="G848" s="22"/>
      <c r="H848" s="155">
        <v>912196.93</v>
      </c>
      <c r="I848" s="22"/>
      <c r="J848" s="155">
        <v>-911239.64</v>
      </c>
      <c r="K848" s="22">
        <f t="shared" si="13"/>
        <v>-911239.64</v>
      </c>
    </row>
    <row r="849" spans="1:11" ht="15.95" customHeight="1" x14ac:dyDescent="0.2">
      <c r="A849" s="139">
        <v>5910201</v>
      </c>
      <c r="B849" s="480" t="s">
        <v>1391</v>
      </c>
      <c r="C849" s="476"/>
      <c r="D849" s="476"/>
      <c r="E849" s="155">
        <v>0</v>
      </c>
      <c r="F849" s="155">
        <v>957.29</v>
      </c>
      <c r="G849" s="22"/>
      <c r="H849" s="155">
        <v>912196.93</v>
      </c>
      <c r="I849" s="22"/>
      <c r="J849" s="155">
        <v>-911239.64</v>
      </c>
      <c r="K849" s="22">
        <f t="shared" si="13"/>
        <v>-911239.64</v>
      </c>
    </row>
    <row r="850" spans="1:11" ht="15.95" customHeight="1" x14ac:dyDescent="0.2">
      <c r="A850" s="139" t="s">
        <v>1392</v>
      </c>
      <c r="B850" s="480" t="s">
        <v>1393</v>
      </c>
      <c r="C850" s="476"/>
      <c r="D850" s="476"/>
      <c r="E850" s="155">
        <v>0</v>
      </c>
      <c r="F850" s="155">
        <v>752.43</v>
      </c>
      <c r="G850" s="22"/>
      <c r="H850" s="155">
        <v>129176.51</v>
      </c>
      <c r="I850" s="22"/>
      <c r="J850" s="155">
        <v>-128424.08</v>
      </c>
      <c r="K850" s="22">
        <f t="shared" si="13"/>
        <v>-128424.08</v>
      </c>
    </row>
    <row r="851" spans="1:11" ht="15.95" customHeight="1" x14ac:dyDescent="0.2">
      <c r="A851" s="139" t="s">
        <v>1581</v>
      </c>
      <c r="B851" s="480" t="s">
        <v>1582</v>
      </c>
      <c r="C851" s="476"/>
      <c r="D851" s="476"/>
      <c r="E851" s="155">
        <v>0</v>
      </c>
      <c r="F851" s="155">
        <v>0</v>
      </c>
      <c r="G851" s="22"/>
      <c r="H851" s="155">
        <v>2440</v>
      </c>
      <c r="I851" s="22"/>
      <c r="J851" s="155">
        <v>-2440</v>
      </c>
      <c r="K851" s="22">
        <f t="shared" si="13"/>
        <v>-2440</v>
      </c>
    </row>
    <row r="852" spans="1:11" ht="15.95" customHeight="1" x14ac:dyDescent="0.2">
      <c r="A852" s="139" t="s">
        <v>1394</v>
      </c>
      <c r="B852" s="480" t="s">
        <v>1395</v>
      </c>
      <c r="C852" s="476"/>
      <c r="D852" s="476"/>
      <c r="E852" s="155">
        <v>0</v>
      </c>
      <c r="F852" s="155">
        <v>0</v>
      </c>
      <c r="G852" s="22"/>
      <c r="H852" s="155">
        <v>177574.24</v>
      </c>
      <c r="I852" s="22"/>
      <c r="J852" s="155">
        <v>-177574.24</v>
      </c>
      <c r="K852" s="22">
        <f t="shared" si="13"/>
        <v>-177574.24</v>
      </c>
    </row>
    <row r="853" spans="1:11" ht="15.95" customHeight="1" x14ac:dyDescent="0.2">
      <c r="A853" s="139" t="s">
        <v>1396</v>
      </c>
      <c r="B853" s="480" t="s">
        <v>1397</v>
      </c>
      <c r="C853" s="476"/>
      <c r="D853" s="476"/>
      <c r="E853" s="155">
        <v>0</v>
      </c>
      <c r="F853" s="155">
        <v>0</v>
      </c>
      <c r="G853" s="22"/>
      <c r="H853" s="155">
        <v>138919.92000000001</v>
      </c>
      <c r="I853" s="22"/>
      <c r="J853" s="155">
        <v>-138919.92000000001</v>
      </c>
      <c r="K853" s="22">
        <f t="shared" si="13"/>
        <v>-138919.92000000001</v>
      </c>
    </row>
    <row r="854" spans="1:11" ht="15.95" customHeight="1" x14ac:dyDescent="0.2">
      <c r="A854" s="139" t="s">
        <v>1398</v>
      </c>
      <c r="B854" s="480" t="s">
        <v>1399</v>
      </c>
      <c r="C854" s="476"/>
      <c r="D854" s="476"/>
      <c r="E854" s="155">
        <v>0</v>
      </c>
      <c r="F854" s="155">
        <v>204.86</v>
      </c>
      <c r="G854" s="22"/>
      <c r="H854" s="155">
        <v>464086.26</v>
      </c>
      <c r="I854" s="22"/>
      <c r="J854" s="155">
        <v>-463881.4</v>
      </c>
      <c r="K854" s="22">
        <f t="shared" si="13"/>
        <v>-463881.4</v>
      </c>
    </row>
    <row r="855" spans="1:11" ht="15.95" customHeight="1" x14ac:dyDescent="0.2">
      <c r="A855" s="139">
        <v>6</v>
      </c>
      <c r="B855" s="480" t="s">
        <v>1400</v>
      </c>
      <c r="C855" s="476"/>
      <c r="D855" s="476"/>
      <c r="E855" s="155">
        <v>0</v>
      </c>
      <c r="F855" s="155">
        <v>3280387.46</v>
      </c>
      <c r="G855" s="22"/>
      <c r="H855" s="155">
        <v>2306577.9</v>
      </c>
      <c r="I855" s="22"/>
      <c r="J855" s="155">
        <v>973809.56</v>
      </c>
      <c r="K855" s="22">
        <f t="shared" si="13"/>
        <v>973809.56</v>
      </c>
    </row>
    <row r="856" spans="1:11" ht="15.95" customHeight="1" x14ac:dyDescent="0.2">
      <c r="A856" s="139">
        <v>62</v>
      </c>
      <c r="B856" s="480" t="s">
        <v>1401</v>
      </c>
      <c r="C856" s="476"/>
      <c r="D856" s="476"/>
      <c r="E856" s="155">
        <v>0</v>
      </c>
      <c r="F856" s="155">
        <v>3280387.46</v>
      </c>
      <c r="G856" s="22"/>
      <c r="H856" s="155">
        <v>2306577.9</v>
      </c>
      <c r="I856" s="22"/>
      <c r="J856" s="155">
        <v>973809.56</v>
      </c>
      <c r="K856" s="22">
        <f t="shared" si="13"/>
        <v>973809.56</v>
      </c>
    </row>
    <row r="857" spans="1:11" ht="15.95" customHeight="1" x14ac:dyDescent="0.2">
      <c r="A857" s="139">
        <v>621</v>
      </c>
      <c r="B857" s="480" t="s">
        <v>1402</v>
      </c>
      <c r="C857" s="476"/>
      <c r="D857" s="476"/>
      <c r="E857" s="155">
        <v>0</v>
      </c>
      <c r="F857" s="155">
        <v>31.02</v>
      </c>
      <c r="G857" s="22"/>
      <c r="H857" s="155">
        <v>2069095.19</v>
      </c>
      <c r="I857" s="22"/>
      <c r="J857" s="155">
        <v>-2069064.17</v>
      </c>
      <c r="K857" s="22">
        <f t="shared" si="13"/>
        <v>-2069064.17</v>
      </c>
    </row>
    <row r="858" spans="1:11" ht="15.95" customHeight="1" x14ac:dyDescent="0.2">
      <c r="A858" s="139">
        <v>62101</v>
      </c>
      <c r="B858" s="480" t="s">
        <v>1403</v>
      </c>
      <c r="C858" s="476"/>
      <c r="D858" s="476"/>
      <c r="E858" s="155">
        <v>0</v>
      </c>
      <c r="F858" s="155">
        <v>31.02</v>
      </c>
      <c r="G858" s="22"/>
      <c r="H858" s="155">
        <v>2069095.19</v>
      </c>
      <c r="I858" s="22"/>
      <c r="J858" s="155">
        <v>-2069064.17</v>
      </c>
      <c r="K858" s="22">
        <f t="shared" si="13"/>
        <v>-2069064.17</v>
      </c>
    </row>
    <row r="859" spans="1:11" ht="15.95" customHeight="1" x14ac:dyDescent="0.2">
      <c r="A859" s="139">
        <v>6210101</v>
      </c>
      <c r="B859" s="480" t="s">
        <v>1404</v>
      </c>
      <c r="C859" s="476"/>
      <c r="D859" s="476"/>
      <c r="E859" s="155">
        <v>0</v>
      </c>
      <c r="F859" s="155">
        <v>31.02</v>
      </c>
      <c r="G859" s="22"/>
      <c r="H859" s="155">
        <v>2069095.19</v>
      </c>
      <c r="I859" s="22"/>
      <c r="J859" s="155">
        <v>-2069064.17</v>
      </c>
      <c r="K859" s="22">
        <f t="shared" si="13"/>
        <v>-2069064.17</v>
      </c>
    </row>
    <row r="860" spans="1:11" ht="15.95" customHeight="1" x14ac:dyDescent="0.2">
      <c r="A860" s="139" t="s">
        <v>1405</v>
      </c>
      <c r="B860" s="480" t="s">
        <v>1406</v>
      </c>
      <c r="C860" s="476"/>
      <c r="D860" s="476"/>
      <c r="E860" s="155">
        <v>0</v>
      </c>
      <c r="F860" s="155">
        <v>0</v>
      </c>
      <c r="G860" s="22"/>
      <c r="H860" s="155">
        <v>55027.11</v>
      </c>
      <c r="I860" s="22"/>
      <c r="J860" s="155">
        <v>-55027.11</v>
      </c>
      <c r="K860" s="22">
        <f t="shared" si="13"/>
        <v>-55027.11</v>
      </c>
    </row>
    <row r="861" spans="1:11" ht="15.95" customHeight="1" x14ac:dyDescent="0.2">
      <c r="A861" s="139" t="s">
        <v>1407</v>
      </c>
      <c r="B861" s="480" t="s">
        <v>1403</v>
      </c>
      <c r="C861" s="476"/>
      <c r="D861" s="476"/>
      <c r="E861" s="155">
        <v>0</v>
      </c>
      <c r="F861" s="155">
        <v>0</v>
      </c>
      <c r="G861" s="22"/>
      <c r="H861" s="155">
        <v>20765.07</v>
      </c>
      <c r="I861" s="22"/>
      <c r="J861" s="155">
        <v>-20765.07</v>
      </c>
      <c r="K861" s="22">
        <f t="shared" si="13"/>
        <v>-20765.07</v>
      </c>
    </row>
    <row r="862" spans="1:11" ht="15.95" customHeight="1" x14ac:dyDescent="0.2">
      <c r="A862" s="139" t="s">
        <v>1408</v>
      </c>
      <c r="B862" s="480" t="s">
        <v>1409</v>
      </c>
      <c r="C862" s="476"/>
      <c r="D862" s="476"/>
      <c r="E862" s="155">
        <v>0</v>
      </c>
      <c r="F862" s="155">
        <v>31.02</v>
      </c>
      <c r="G862" s="22"/>
      <c r="H862" s="155">
        <v>1992803.01</v>
      </c>
      <c r="I862" s="22"/>
      <c r="J862" s="155">
        <v>-1992771.99</v>
      </c>
      <c r="K862" s="22">
        <f t="shared" si="13"/>
        <v>-1992771.99</v>
      </c>
    </row>
    <row r="863" spans="1:11" ht="15.95" customHeight="1" x14ac:dyDescent="0.2">
      <c r="A863" s="139" t="s">
        <v>1864</v>
      </c>
      <c r="B863" s="480" t="s">
        <v>1865</v>
      </c>
      <c r="C863" s="476"/>
      <c r="D863" s="476"/>
      <c r="E863" s="155">
        <v>0</v>
      </c>
      <c r="F863" s="155">
        <v>0</v>
      </c>
      <c r="G863" s="22"/>
      <c r="H863" s="155">
        <v>500</v>
      </c>
      <c r="I863" s="22"/>
      <c r="J863" s="155">
        <v>-500</v>
      </c>
      <c r="K863" s="22">
        <f t="shared" si="13"/>
        <v>-500</v>
      </c>
    </row>
    <row r="864" spans="1:11" ht="15.95" customHeight="1" x14ac:dyDescent="0.2">
      <c r="A864" s="139">
        <v>624</v>
      </c>
      <c r="B864" s="480" t="s">
        <v>1410</v>
      </c>
      <c r="C864" s="476"/>
      <c r="D864" s="476"/>
      <c r="E864" s="155">
        <v>0</v>
      </c>
      <c r="F864" s="155">
        <v>2655532.2599999998</v>
      </c>
      <c r="G864" s="22"/>
      <c r="H864" s="155">
        <v>232590.05</v>
      </c>
      <c r="I864" s="22"/>
      <c r="J864" s="155">
        <v>2422942.21</v>
      </c>
      <c r="K864" s="22">
        <f t="shared" si="13"/>
        <v>2422942.21</v>
      </c>
    </row>
    <row r="865" spans="1:11" ht="15.95" customHeight="1" x14ac:dyDescent="0.2">
      <c r="A865" s="139">
        <v>62401</v>
      </c>
      <c r="B865" s="480" t="s">
        <v>1410</v>
      </c>
      <c r="C865" s="476"/>
      <c r="D865" s="476"/>
      <c r="E865" s="155">
        <v>0</v>
      </c>
      <c r="F865" s="155">
        <v>2655532.2599999998</v>
      </c>
      <c r="G865" s="22"/>
      <c r="H865" s="155">
        <v>232590.05</v>
      </c>
      <c r="I865" s="22"/>
      <c r="J865" s="155">
        <v>2422942.21</v>
      </c>
      <c r="K865" s="22">
        <f t="shared" si="13"/>
        <v>2422942.21</v>
      </c>
    </row>
    <row r="866" spans="1:11" ht="27.95" customHeight="1" x14ac:dyDescent="0.2">
      <c r="A866" s="139">
        <v>6240101</v>
      </c>
      <c r="B866" s="480" t="s">
        <v>1410</v>
      </c>
      <c r="C866" s="476"/>
      <c r="D866" s="476"/>
      <c r="E866" s="155">
        <v>0</v>
      </c>
      <c r="F866" s="155">
        <v>2655532.2599999998</v>
      </c>
      <c r="G866" s="22"/>
      <c r="H866" s="155">
        <v>232590.05</v>
      </c>
      <c r="I866" s="22"/>
      <c r="J866" s="155">
        <v>2422942.21</v>
      </c>
      <c r="K866" s="22">
        <f t="shared" si="13"/>
        <v>2422942.21</v>
      </c>
    </row>
    <row r="867" spans="1:11" ht="15.95" customHeight="1" x14ac:dyDescent="0.2">
      <c r="A867" s="139" t="s">
        <v>1411</v>
      </c>
      <c r="B867" s="480" t="s">
        <v>1412</v>
      </c>
      <c r="C867" s="476"/>
      <c r="D867" s="476"/>
      <c r="E867" s="155">
        <v>0</v>
      </c>
      <c r="F867" s="155">
        <v>2422942.21</v>
      </c>
      <c r="G867" s="22"/>
      <c r="H867" s="155">
        <v>232590.05</v>
      </c>
      <c r="I867" s="22"/>
      <c r="J867" s="155">
        <v>2190352.16</v>
      </c>
      <c r="K867" s="22">
        <f t="shared" si="13"/>
        <v>2190352.16</v>
      </c>
    </row>
    <row r="868" spans="1:11" ht="15.95" customHeight="1" x14ac:dyDescent="0.2">
      <c r="A868" s="139" t="s">
        <v>1866</v>
      </c>
      <c r="B868" s="480" t="s">
        <v>1867</v>
      </c>
      <c r="C868" s="476"/>
      <c r="D868" s="476"/>
      <c r="E868" s="155">
        <v>0</v>
      </c>
      <c r="F868" s="155">
        <v>232590.05</v>
      </c>
      <c r="G868" s="22"/>
      <c r="H868" s="155">
        <v>0</v>
      </c>
      <c r="I868" s="22"/>
      <c r="J868" s="155">
        <v>232590.05</v>
      </c>
      <c r="K868" s="22">
        <f t="shared" si="13"/>
        <v>232590.05</v>
      </c>
    </row>
    <row r="869" spans="1:11" ht="15.95" customHeight="1" x14ac:dyDescent="0.2">
      <c r="A869" s="139">
        <v>625</v>
      </c>
      <c r="B869" s="480" t="s">
        <v>1413</v>
      </c>
      <c r="C869" s="476"/>
      <c r="D869" s="476"/>
      <c r="E869" s="155">
        <v>0</v>
      </c>
      <c r="F869" s="155">
        <v>624824.18000000005</v>
      </c>
      <c r="G869" s="22"/>
      <c r="H869" s="155">
        <v>4892.66</v>
      </c>
      <c r="I869" s="22"/>
      <c r="J869" s="155">
        <v>619931.52</v>
      </c>
      <c r="K869" s="22">
        <f t="shared" si="13"/>
        <v>619931.52</v>
      </c>
    </row>
    <row r="870" spans="1:11" ht="15.95" customHeight="1" x14ac:dyDescent="0.2">
      <c r="A870" s="139">
        <v>62501</v>
      </c>
      <c r="B870" s="480" t="s">
        <v>1413</v>
      </c>
      <c r="C870" s="476"/>
      <c r="D870" s="476"/>
      <c r="E870" s="155">
        <v>0</v>
      </c>
      <c r="F870" s="155">
        <v>624824.18000000005</v>
      </c>
      <c r="G870" s="22"/>
      <c r="H870" s="155">
        <v>4892.66</v>
      </c>
      <c r="I870" s="22"/>
      <c r="J870" s="155">
        <v>619931.52</v>
      </c>
      <c r="K870" s="22">
        <f t="shared" si="13"/>
        <v>619931.52</v>
      </c>
    </row>
    <row r="871" spans="1:11" ht="15.95" customHeight="1" x14ac:dyDescent="0.2">
      <c r="A871" s="139">
        <v>6250101</v>
      </c>
      <c r="B871" s="480" t="s">
        <v>1414</v>
      </c>
      <c r="C871" s="476"/>
      <c r="D871" s="476"/>
      <c r="E871" s="155">
        <v>0</v>
      </c>
      <c r="F871" s="155">
        <v>624824.18000000005</v>
      </c>
      <c r="G871" s="22"/>
      <c r="H871" s="155">
        <v>4892.66</v>
      </c>
      <c r="I871" s="22"/>
      <c r="J871" s="155">
        <v>619931.52</v>
      </c>
      <c r="K871" s="22">
        <f t="shared" si="13"/>
        <v>619931.52</v>
      </c>
    </row>
    <row r="872" spans="1:11" ht="15.95" customHeight="1" x14ac:dyDescent="0.2">
      <c r="A872" s="139" t="s">
        <v>1415</v>
      </c>
      <c r="B872" s="480" t="s">
        <v>1416</v>
      </c>
      <c r="C872" s="476"/>
      <c r="D872" s="476"/>
      <c r="E872" s="155">
        <v>0</v>
      </c>
      <c r="F872" s="155">
        <v>517162.96</v>
      </c>
      <c r="G872" s="22"/>
      <c r="H872" s="155">
        <v>4892.66</v>
      </c>
      <c r="I872" s="22"/>
      <c r="J872" s="155">
        <v>512270.3</v>
      </c>
      <c r="K872" s="22">
        <f t="shared" si="13"/>
        <v>512270.3</v>
      </c>
    </row>
    <row r="873" spans="1:11" ht="15.95" customHeight="1" x14ac:dyDescent="0.2">
      <c r="A873" s="139" t="s">
        <v>1417</v>
      </c>
      <c r="B873" s="480" t="s">
        <v>1418</v>
      </c>
      <c r="C873" s="476"/>
      <c r="D873" s="476"/>
      <c r="E873" s="155">
        <v>0</v>
      </c>
      <c r="F873" s="155">
        <v>107661.22</v>
      </c>
      <c r="G873" s="22"/>
      <c r="H873" s="155">
        <v>0</v>
      </c>
      <c r="I873" s="22"/>
      <c r="J873" s="155">
        <v>107661.22</v>
      </c>
      <c r="K873" s="22">
        <f t="shared" si="13"/>
        <v>107661.22</v>
      </c>
    </row>
    <row r="874" spans="1:11" ht="15.95" customHeight="1" x14ac:dyDescent="0.2">
      <c r="A874" s="139">
        <v>9</v>
      </c>
      <c r="B874" s="480" t="s">
        <v>1419</v>
      </c>
      <c r="C874" s="476"/>
      <c r="D874" s="476"/>
      <c r="E874" s="155">
        <v>0</v>
      </c>
      <c r="F874" s="155">
        <v>380775.73</v>
      </c>
      <c r="G874" s="22"/>
      <c r="H874" s="155">
        <v>8168838.6600000001</v>
      </c>
      <c r="I874" s="22"/>
      <c r="J874" s="155">
        <v>-7788062.9299999997</v>
      </c>
      <c r="K874" s="22">
        <f t="shared" si="13"/>
        <v>-7788062.9299999997</v>
      </c>
    </row>
    <row r="875" spans="1:11" ht="15.95" customHeight="1" x14ac:dyDescent="0.2">
      <c r="A875" s="139">
        <v>91</v>
      </c>
      <c r="B875" s="480" t="s">
        <v>1420</v>
      </c>
      <c r="C875" s="476"/>
      <c r="D875" s="476"/>
      <c r="E875" s="155">
        <v>0</v>
      </c>
      <c r="F875" s="155">
        <v>380775.73</v>
      </c>
      <c r="G875" s="22"/>
      <c r="H875" s="155">
        <v>8168838.6600000001</v>
      </c>
      <c r="I875" s="22"/>
      <c r="J875" s="155">
        <v>-7788062.9299999997</v>
      </c>
      <c r="K875" s="22">
        <f t="shared" si="13"/>
        <v>-7788062.9299999997</v>
      </c>
    </row>
    <row r="876" spans="1:11" ht="15.95" customHeight="1" x14ac:dyDescent="0.2">
      <c r="A876" s="139">
        <v>911</v>
      </c>
      <c r="B876" s="480" t="s">
        <v>1421</v>
      </c>
      <c r="C876" s="476"/>
      <c r="D876" s="476"/>
      <c r="E876" s="155">
        <v>0</v>
      </c>
      <c r="F876" s="155">
        <v>380775.73</v>
      </c>
      <c r="G876" s="22"/>
      <c r="H876" s="155">
        <v>8168838.6600000001</v>
      </c>
      <c r="I876" s="22"/>
      <c r="J876" s="155">
        <v>-7788062.9299999997</v>
      </c>
      <c r="K876" s="22">
        <f t="shared" si="13"/>
        <v>-7788062.9299999997</v>
      </c>
    </row>
    <row r="877" spans="1:11" ht="15.95" customHeight="1" x14ac:dyDescent="0.2">
      <c r="A877" s="139">
        <v>91101</v>
      </c>
      <c r="B877" s="480" t="s">
        <v>1110</v>
      </c>
      <c r="C877" s="476"/>
      <c r="D877" s="476"/>
      <c r="E877" s="155">
        <v>0</v>
      </c>
      <c r="F877" s="155">
        <v>380775.73</v>
      </c>
      <c r="G877" s="22"/>
      <c r="H877" s="155">
        <v>8168838.6600000001</v>
      </c>
      <c r="I877" s="22"/>
      <c r="J877" s="155">
        <v>-7788062.9299999997</v>
      </c>
      <c r="K877" s="22">
        <f t="shared" si="13"/>
        <v>-7788062.9299999997</v>
      </c>
    </row>
    <row r="878" spans="1:11" ht="15.95" customHeight="1" x14ac:dyDescent="0.2">
      <c r="A878" s="139">
        <v>9110101</v>
      </c>
      <c r="B878" s="480" t="s">
        <v>1110</v>
      </c>
      <c r="C878" s="476"/>
      <c r="D878" s="476"/>
      <c r="E878" s="155">
        <v>0</v>
      </c>
      <c r="F878" s="155">
        <v>380775.73</v>
      </c>
      <c r="G878" s="22"/>
      <c r="H878" s="155">
        <v>8168838.6600000001</v>
      </c>
      <c r="I878" s="22"/>
      <c r="J878" s="155">
        <v>-7788062.9299999997</v>
      </c>
      <c r="K878" s="22">
        <f t="shared" si="13"/>
        <v>-7788062.9299999997</v>
      </c>
    </row>
    <row r="879" spans="1:11" ht="17.100000000000001" customHeight="1" x14ac:dyDescent="0.2">
      <c r="A879" s="139" t="s">
        <v>1422</v>
      </c>
      <c r="B879" s="480" t="s">
        <v>1110</v>
      </c>
      <c r="C879" s="476"/>
      <c r="D879" s="476"/>
      <c r="E879" s="155">
        <v>0</v>
      </c>
      <c r="F879" s="155">
        <v>380775.73</v>
      </c>
      <c r="G879" s="22"/>
      <c r="H879" s="155">
        <v>8168838.6600000001</v>
      </c>
      <c r="I879" s="22"/>
      <c r="J879" s="155">
        <v>-7788062.9299999997</v>
      </c>
      <c r="K879" s="22">
        <f t="shared" si="13"/>
        <v>-7788062.9299999997</v>
      </c>
    </row>
    <row r="880" spans="1:11" ht="24.95" customHeight="1" x14ac:dyDescent="0.2">
      <c r="E880" s="155">
        <v>0</v>
      </c>
      <c r="F880" s="155">
        <v>373773335.16000003</v>
      </c>
      <c r="G880" s="22"/>
      <c r="H880" s="155">
        <v>373773335.16000003</v>
      </c>
      <c r="I880" s="22"/>
      <c r="J880" s="155">
        <v>0</v>
      </c>
      <c r="K880" s="22">
        <f t="shared" si="13"/>
        <v>0</v>
      </c>
    </row>
    <row r="881" spans="1:10" ht="15.95" customHeight="1" x14ac:dyDescent="0.2">
      <c r="A881" s="483" t="s">
        <v>1796</v>
      </c>
      <c r="B881" s="476"/>
      <c r="C881" s="476"/>
      <c r="D881" s="143" t="s">
        <v>1797</v>
      </c>
      <c r="J881" s="144" t="s">
        <v>1596</v>
      </c>
    </row>
  </sheetData>
  <autoFilter ref="A1:J881"/>
  <mergeCells count="878">
    <mergeCell ref="B3:D3"/>
    <mergeCell ref="B4:D4"/>
    <mergeCell ref="B5:D5"/>
    <mergeCell ref="B6:D6"/>
    <mergeCell ref="B7:D7"/>
    <mergeCell ref="B8:D8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B27:D2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B39:D39"/>
    <mergeCell ref="B40:D40"/>
    <mergeCell ref="B41:D41"/>
    <mergeCell ref="B42:D42"/>
    <mergeCell ref="B43:D43"/>
    <mergeCell ref="B44:D44"/>
    <mergeCell ref="B33:D33"/>
    <mergeCell ref="B34:D34"/>
    <mergeCell ref="B35:D35"/>
    <mergeCell ref="B36:D36"/>
    <mergeCell ref="B37:D37"/>
    <mergeCell ref="B38:D38"/>
    <mergeCell ref="B51:D51"/>
    <mergeCell ref="B52:D52"/>
    <mergeCell ref="B53:D53"/>
    <mergeCell ref="B54:D54"/>
    <mergeCell ref="B55:D55"/>
    <mergeCell ref="B56:D56"/>
    <mergeCell ref="B45:D45"/>
    <mergeCell ref="B46:D46"/>
    <mergeCell ref="B47:D47"/>
    <mergeCell ref="B48:D48"/>
    <mergeCell ref="B49:D49"/>
    <mergeCell ref="B50:D50"/>
    <mergeCell ref="B62:D62"/>
    <mergeCell ref="B63:D63"/>
    <mergeCell ref="B64:D64"/>
    <mergeCell ref="B65:D65"/>
    <mergeCell ref="B66:D66"/>
    <mergeCell ref="B67:D67"/>
    <mergeCell ref="B57:D57"/>
    <mergeCell ref="B58:D58"/>
    <mergeCell ref="B59:D59"/>
    <mergeCell ref="B60:D60"/>
    <mergeCell ref="B61:D61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86:D86"/>
    <mergeCell ref="B87:D87"/>
    <mergeCell ref="B88:D88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98:D98"/>
    <mergeCell ref="B99:D99"/>
    <mergeCell ref="B100:D100"/>
    <mergeCell ref="B101:D101"/>
    <mergeCell ref="B102:D102"/>
    <mergeCell ref="B103:D103"/>
    <mergeCell ref="B92:D92"/>
    <mergeCell ref="B93:D93"/>
    <mergeCell ref="B94:D94"/>
    <mergeCell ref="B95:D95"/>
    <mergeCell ref="B96:D96"/>
    <mergeCell ref="B97:D97"/>
    <mergeCell ref="B110:D110"/>
    <mergeCell ref="B111:D111"/>
    <mergeCell ref="B112:D112"/>
    <mergeCell ref="B113:D113"/>
    <mergeCell ref="B114:D114"/>
    <mergeCell ref="B104:D104"/>
    <mergeCell ref="B105:D105"/>
    <mergeCell ref="B106:D106"/>
    <mergeCell ref="B107:D107"/>
    <mergeCell ref="B108:D108"/>
    <mergeCell ref="B109:D109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45:D145"/>
    <mergeCell ref="B146:D146"/>
    <mergeCell ref="B147:D147"/>
    <mergeCell ref="B148:D148"/>
    <mergeCell ref="B149:D149"/>
    <mergeCell ref="B150:D150"/>
    <mergeCell ref="B139:D139"/>
    <mergeCell ref="B140:D140"/>
    <mergeCell ref="B141:D141"/>
    <mergeCell ref="B142:D142"/>
    <mergeCell ref="B143:D143"/>
    <mergeCell ref="B144:D144"/>
    <mergeCell ref="B157:D157"/>
    <mergeCell ref="B158:D158"/>
    <mergeCell ref="B159:D159"/>
    <mergeCell ref="B160:D160"/>
    <mergeCell ref="B161:D161"/>
    <mergeCell ref="B162:D162"/>
    <mergeCell ref="B151:D151"/>
    <mergeCell ref="B152:D152"/>
    <mergeCell ref="B153:D153"/>
    <mergeCell ref="B154:D154"/>
    <mergeCell ref="B155:D155"/>
    <mergeCell ref="B156:D156"/>
    <mergeCell ref="B168:D168"/>
    <mergeCell ref="B169:D169"/>
    <mergeCell ref="B170:D170"/>
    <mergeCell ref="B171:D171"/>
    <mergeCell ref="B172:D172"/>
    <mergeCell ref="B173:D173"/>
    <mergeCell ref="B163:D163"/>
    <mergeCell ref="B164:D164"/>
    <mergeCell ref="B165:D165"/>
    <mergeCell ref="B166:D166"/>
    <mergeCell ref="B167:D167"/>
    <mergeCell ref="B180:D180"/>
    <mergeCell ref="B181:D181"/>
    <mergeCell ref="B182:D182"/>
    <mergeCell ref="B183:D183"/>
    <mergeCell ref="B184:D184"/>
    <mergeCell ref="B185:D185"/>
    <mergeCell ref="B174:D174"/>
    <mergeCell ref="B175:D175"/>
    <mergeCell ref="B176:D176"/>
    <mergeCell ref="B177:D177"/>
    <mergeCell ref="B178:D178"/>
    <mergeCell ref="B179:D179"/>
    <mergeCell ref="B192:D192"/>
    <mergeCell ref="B193:D193"/>
    <mergeCell ref="B194:D194"/>
    <mergeCell ref="B195:D195"/>
    <mergeCell ref="B196:D196"/>
    <mergeCell ref="B197:D197"/>
    <mergeCell ref="B186:D186"/>
    <mergeCell ref="B187:D187"/>
    <mergeCell ref="B188:D188"/>
    <mergeCell ref="B189:D189"/>
    <mergeCell ref="B190:D190"/>
    <mergeCell ref="B191:D191"/>
    <mergeCell ref="B204:D204"/>
    <mergeCell ref="B205:D205"/>
    <mergeCell ref="B206:D206"/>
    <mergeCell ref="B207:D207"/>
    <mergeCell ref="B208:D208"/>
    <mergeCell ref="B209:D209"/>
    <mergeCell ref="B198:D198"/>
    <mergeCell ref="B199:D199"/>
    <mergeCell ref="B200:D200"/>
    <mergeCell ref="B201:D201"/>
    <mergeCell ref="B202:D202"/>
    <mergeCell ref="B203:D203"/>
    <mergeCell ref="B216:D216"/>
    <mergeCell ref="B217:D217"/>
    <mergeCell ref="B218:D218"/>
    <mergeCell ref="B219:D219"/>
    <mergeCell ref="B220:D220"/>
    <mergeCell ref="B210:D210"/>
    <mergeCell ref="B211:D211"/>
    <mergeCell ref="B212:D212"/>
    <mergeCell ref="B213:D213"/>
    <mergeCell ref="B214:D214"/>
    <mergeCell ref="B215:D215"/>
    <mergeCell ref="B227:D227"/>
    <mergeCell ref="B228:D228"/>
    <mergeCell ref="B229:D229"/>
    <mergeCell ref="B230:D230"/>
    <mergeCell ref="B231:D231"/>
    <mergeCell ref="B232:D232"/>
    <mergeCell ref="B221:D221"/>
    <mergeCell ref="B222:D222"/>
    <mergeCell ref="B223:D223"/>
    <mergeCell ref="B224:D224"/>
    <mergeCell ref="B225:D225"/>
    <mergeCell ref="B226:D226"/>
    <mergeCell ref="B239:D239"/>
    <mergeCell ref="B240:D240"/>
    <mergeCell ref="B241:D241"/>
    <mergeCell ref="B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51:D251"/>
    <mergeCell ref="B252:D252"/>
    <mergeCell ref="B253:D253"/>
    <mergeCell ref="B254:D254"/>
    <mergeCell ref="B255:D255"/>
    <mergeCell ref="B256:D256"/>
    <mergeCell ref="B245:D245"/>
    <mergeCell ref="B246:D246"/>
    <mergeCell ref="B247:D247"/>
    <mergeCell ref="B248:D248"/>
    <mergeCell ref="B249:D249"/>
    <mergeCell ref="B250:D250"/>
    <mergeCell ref="B263:D263"/>
    <mergeCell ref="B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62:D262"/>
    <mergeCell ref="B274:D274"/>
    <mergeCell ref="B275:D275"/>
    <mergeCell ref="B276:D276"/>
    <mergeCell ref="B277:D277"/>
    <mergeCell ref="B278:D278"/>
    <mergeCell ref="B279:D279"/>
    <mergeCell ref="B269:D269"/>
    <mergeCell ref="B270:D270"/>
    <mergeCell ref="B271:D271"/>
    <mergeCell ref="B272:D272"/>
    <mergeCell ref="B273:D273"/>
    <mergeCell ref="B286:D286"/>
    <mergeCell ref="B287:D287"/>
    <mergeCell ref="B288:D288"/>
    <mergeCell ref="B289:D289"/>
    <mergeCell ref="B290:D290"/>
    <mergeCell ref="B291:D291"/>
    <mergeCell ref="B280:D280"/>
    <mergeCell ref="B281:D281"/>
    <mergeCell ref="B282:D282"/>
    <mergeCell ref="B283:D283"/>
    <mergeCell ref="B284:D284"/>
    <mergeCell ref="B285:D285"/>
    <mergeCell ref="B298:D298"/>
    <mergeCell ref="B299:D299"/>
    <mergeCell ref="B300:D300"/>
    <mergeCell ref="B301:D301"/>
    <mergeCell ref="B302:D302"/>
    <mergeCell ref="B303:D303"/>
    <mergeCell ref="B292:D292"/>
    <mergeCell ref="B293:D293"/>
    <mergeCell ref="B294:D294"/>
    <mergeCell ref="B295:D295"/>
    <mergeCell ref="B296:D296"/>
    <mergeCell ref="B297:D297"/>
    <mergeCell ref="B310:D310"/>
    <mergeCell ref="B311:D311"/>
    <mergeCell ref="B312:D312"/>
    <mergeCell ref="B313:D313"/>
    <mergeCell ref="B314:D314"/>
    <mergeCell ref="B315:D315"/>
    <mergeCell ref="B304:D304"/>
    <mergeCell ref="B305:D305"/>
    <mergeCell ref="B306:D306"/>
    <mergeCell ref="B307:D307"/>
    <mergeCell ref="B308:D308"/>
    <mergeCell ref="B309:D309"/>
    <mergeCell ref="B322:D322"/>
    <mergeCell ref="B323:D323"/>
    <mergeCell ref="B324:D324"/>
    <mergeCell ref="B325:D325"/>
    <mergeCell ref="B326:D326"/>
    <mergeCell ref="B316:D316"/>
    <mergeCell ref="B317:D317"/>
    <mergeCell ref="B318:D318"/>
    <mergeCell ref="B319:D319"/>
    <mergeCell ref="B320:D320"/>
    <mergeCell ref="B321:D321"/>
    <mergeCell ref="B333:D333"/>
    <mergeCell ref="B334:D334"/>
    <mergeCell ref="B335:D335"/>
    <mergeCell ref="B336:D336"/>
    <mergeCell ref="B337:D337"/>
    <mergeCell ref="B338:D338"/>
    <mergeCell ref="B327:D327"/>
    <mergeCell ref="B328:D328"/>
    <mergeCell ref="B329:D329"/>
    <mergeCell ref="B330:D330"/>
    <mergeCell ref="B331:D331"/>
    <mergeCell ref="B332:D332"/>
    <mergeCell ref="B345:D345"/>
    <mergeCell ref="B346:D346"/>
    <mergeCell ref="B347:D347"/>
    <mergeCell ref="B348:D348"/>
    <mergeCell ref="B349:D349"/>
    <mergeCell ref="B350:D350"/>
    <mergeCell ref="B339:D339"/>
    <mergeCell ref="B340:D340"/>
    <mergeCell ref="B341:D341"/>
    <mergeCell ref="B342:D342"/>
    <mergeCell ref="B343:D343"/>
    <mergeCell ref="B344:D344"/>
    <mergeCell ref="B357:D357"/>
    <mergeCell ref="B358:D358"/>
    <mergeCell ref="B359:D359"/>
    <mergeCell ref="B360:D360"/>
    <mergeCell ref="B361:D361"/>
    <mergeCell ref="B362:D362"/>
    <mergeCell ref="B351:D351"/>
    <mergeCell ref="B352:D352"/>
    <mergeCell ref="B353:D353"/>
    <mergeCell ref="B354:D354"/>
    <mergeCell ref="B355:D355"/>
    <mergeCell ref="B356:D356"/>
    <mergeCell ref="B369:D369"/>
    <mergeCell ref="B370:D370"/>
    <mergeCell ref="B371:D371"/>
    <mergeCell ref="B372:D372"/>
    <mergeCell ref="B373:D373"/>
    <mergeCell ref="B374:D374"/>
    <mergeCell ref="B363:D363"/>
    <mergeCell ref="B364:D364"/>
    <mergeCell ref="B365:D365"/>
    <mergeCell ref="B366:D366"/>
    <mergeCell ref="B367:D367"/>
    <mergeCell ref="B368:D368"/>
    <mergeCell ref="B381:D381"/>
    <mergeCell ref="B382:D382"/>
    <mergeCell ref="B383:D383"/>
    <mergeCell ref="B384:D384"/>
    <mergeCell ref="B385:D385"/>
    <mergeCell ref="B375:D375"/>
    <mergeCell ref="B376:D376"/>
    <mergeCell ref="B377:D377"/>
    <mergeCell ref="B378:D378"/>
    <mergeCell ref="B379:D379"/>
    <mergeCell ref="B380:D380"/>
    <mergeCell ref="B392:D392"/>
    <mergeCell ref="B393:D393"/>
    <mergeCell ref="B394:D394"/>
    <mergeCell ref="B395:D395"/>
    <mergeCell ref="B396:D396"/>
    <mergeCell ref="B397:D397"/>
    <mergeCell ref="B386:D386"/>
    <mergeCell ref="B387:D387"/>
    <mergeCell ref="B388:D388"/>
    <mergeCell ref="B389:D389"/>
    <mergeCell ref="B390:D390"/>
    <mergeCell ref="B391:D391"/>
    <mergeCell ref="B404:D404"/>
    <mergeCell ref="B405:D405"/>
    <mergeCell ref="B406:D406"/>
    <mergeCell ref="B407:D407"/>
    <mergeCell ref="B408:D408"/>
    <mergeCell ref="B409:D409"/>
    <mergeCell ref="B398:D398"/>
    <mergeCell ref="B399:D399"/>
    <mergeCell ref="B400:D400"/>
    <mergeCell ref="B401:D401"/>
    <mergeCell ref="B402:D402"/>
    <mergeCell ref="B403:D403"/>
    <mergeCell ref="B416:D416"/>
    <mergeCell ref="B417:D417"/>
    <mergeCell ref="B418:D418"/>
    <mergeCell ref="B419:D419"/>
    <mergeCell ref="B420:D420"/>
    <mergeCell ref="B421:D421"/>
    <mergeCell ref="B410:D410"/>
    <mergeCell ref="B411:D411"/>
    <mergeCell ref="B412:D412"/>
    <mergeCell ref="B413:D413"/>
    <mergeCell ref="B414:D414"/>
    <mergeCell ref="B415:D415"/>
    <mergeCell ref="B428:D428"/>
    <mergeCell ref="B429:D429"/>
    <mergeCell ref="B430:D430"/>
    <mergeCell ref="B431:D431"/>
    <mergeCell ref="B432:D432"/>
    <mergeCell ref="B433:D433"/>
    <mergeCell ref="B422:D422"/>
    <mergeCell ref="B423:D423"/>
    <mergeCell ref="B424:D424"/>
    <mergeCell ref="B425:D425"/>
    <mergeCell ref="B426:D426"/>
    <mergeCell ref="B427:D427"/>
    <mergeCell ref="B439:D439"/>
    <mergeCell ref="B440:D440"/>
    <mergeCell ref="B441:D441"/>
    <mergeCell ref="B442:D442"/>
    <mergeCell ref="B443:D443"/>
    <mergeCell ref="B444:D444"/>
    <mergeCell ref="B434:D434"/>
    <mergeCell ref="B435:D435"/>
    <mergeCell ref="B436:D436"/>
    <mergeCell ref="B437:D437"/>
    <mergeCell ref="B438:D438"/>
    <mergeCell ref="B451:D451"/>
    <mergeCell ref="B452:D452"/>
    <mergeCell ref="B453:D453"/>
    <mergeCell ref="B454:D454"/>
    <mergeCell ref="B455:D455"/>
    <mergeCell ref="B456:D456"/>
    <mergeCell ref="B445:D445"/>
    <mergeCell ref="B446:D446"/>
    <mergeCell ref="B447:D447"/>
    <mergeCell ref="B448:D448"/>
    <mergeCell ref="B449:D449"/>
    <mergeCell ref="B450:D450"/>
    <mergeCell ref="B463:D463"/>
    <mergeCell ref="B464:D464"/>
    <mergeCell ref="B465:D465"/>
    <mergeCell ref="B466:D466"/>
    <mergeCell ref="B467:D467"/>
    <mergeCell ref="B468:D468"/>
    <mergeCell ref="B457:D457"/>
    <mergeCell ref="B458:D458"/>
    <mergeCell ref="B459:D459"/>
    <mergeCell ref="B460:D460"/>
    <mergeCell ref="B461:D461"/>
    <mergeCell ref="B462:D462"/>
    <mergeCell ref="B475:D475"/>
    <mergeCell ref="B476:D476"/>
    <mergeCell ref="B477:D477"/>
    <mergeCell ref="B478:D478"/>
    <mergeCell ref="B479:D479"/>
    <mergeCell ref="B480:D480"/>
    <mergeCell ref="B469:D469"/>
    <mergeCell ref="B470:D470"/>
    <mergeCell ref="B471:D471"/>
    <mergeCell ref="B472:D472"/>
    <mergeCell ref="B473:D473"/>
    <mergeCell ref="B474:D474"/>
    <mergeCell ref="B487:D487"/>
    <mergeCell ref="B488:D488"/>
    <mergeCell ref="B489:D489"/>
    <mergeCell ref="B490:D490"/>
    <mergeCell ref="B491:D491"/>
    <mergeCell ref="B481:D481"/>
    <mergeCell ref="B482:D482"/>
    <mergeCell ref="B483:D483"/>
    <mergeCell ref="B484:D484"/>
    <mergeCell ref="B485:D485"/>
    <mergeCell ref="B486:D486"/>
    <mergeCell ref="B498:D498"/>
    <mergeCell ref="B499:D499"/>
    <mergeCell ref="B500:D500"/>
    <mergeCell ref="B501:D501"/>
    <mergeCell ref="B502:D502"/>
    <mergeCell ref="B503:D503"/>
    <mergeCell ref="B492:D492"/>
    <mergeCell ref="B493:D493"/>
    <mergeCell ref="B494:D494"/>
    <mergeCell ref="B495:D495"/>
    <mergeCell ref="B496:D496"/>
    <mergeCell ref="B497:D497"/>
    <mergeCell ref="B510:D510"/>
    <mergeCell ref="B511:D511"/>
    <mergeCell ref="B512:D512"/>
    <mergeCell ref="B513:D513"/>
    <mergeCell ref="B514:D514"/>
    <mergeCell ref="B515:D515"/>
    <mergeCell ref="B504:D504"/>
    <mergeCell ref="B505:D505"/>
    <mergeCell ref="B506:D506"/>
    <mergeCell ref="B507:D507"/>
    <mergeCell ref="B508:D508"/>
    <mergeCell ref="B509:D509"/>
    <mergeCell ref="B522:D522"/>
    <mergeCell ref="B523:D523"/>
    <mergeCell ref="B524:D524"/>
    <mergeCell ref="B525:D525"/>
    <mergeCell ref="B526:D526"/>
    <mergeCell ref="B527:D527"/>
    <mergeCell ref="B516:D516"/>
    <mergeCell ref="B517:D517"/>
    <mergeCell ref="B518:D518"/>
    <mergeCell ref="B519:D519"/>
    <mergeCell ref="B520:D520"/>
    <mergeCell ref="B521:D521"/>
    <mergeCell ref="B534:D534"/>
    <mergeCell ref="B535:D535"/>
    <mergeCell ref="B536:D536"/>
    <mergeCell ref="B537:D537"/>
    <mergeCell ref="B538:D538"/>
    <mergeCell ref="B539:D539"/>
    <mergeCell ref="B528:D528"/>
    <mergeCell ref="B529:D529"/>
    <mergeCell ref="B530:D530"/>
    <mergeCell ref="B531:D531"/>
    <mergeCell ref="B532:D532"/>
    <mergeCell ref="B533:D533"/>
    <mergeCell ref="B545:D545"/>
    <mergeCell ref="B546:D546"/>
    <mergeCell ref="B547:D547"/>
    <mergeCell ref="B548:D548"/>
    <mergeCell ref="B549:D549"/>
    <mergeCell ref="B550:D550"/>
    <mergeCell ref="B540:D540"/>
    <mergeCell ref="B541:D541"/>
    <mergeCell ref="B542:D542"/>
    <mergeCell ref="B543:D543"/>
    <mergeCell ref="B544:D544"/>
    <mergeCell ref="B557:D557"/>
    <mergeCell ref="B558:D558"/>
    <mergeCell ref="B559:D559"/>
    <mergeCell ref="B560:D560"/>
    <mergeCell ref="B561:D561"/>
    <mergeCell ref="B562:D562"/>
    <mergeCell ref="B551:D551"/>
    <mergeCell ref="B552:D552"/>
    <mergeCell ref="B553:D553"/>
    <mergeCell ref="B554:D554"/>
    <mergeCell ref="B555:D555"/>
    <mergeCell ref="B556:D556"/>
    <mergeCell ref="B569:D569"/>
    <mergeCell ref="B570:D570"/>
    <mergeCell ref="B571:D571"/>
    <mergeCell ref="B572:D572"/>
    <mergeCell ref="B573:D573"/>
    <mergeCell ref="B574:D574"/>
    <mergeCell ref="B563:D563"/>
    <mergeCell ref="B564:D564"/>
    <mergeCell ref="B565:D565"/>
    <mergeCell ref="B566:D566"/>
    <mergeCell ref="B567:D567"/>
    <mergeCell ref="B568:D568"/>
    <mergeCell ref="B581:D581"/>
    <mergeCell ref="B582:D582"/>
    <mergeCell ref="B583:D583"/>
    <mergeCell ref="B584:D584"/>
    <mergeCell ref="B585:D585"/>
    <mergeCell ref="B586:D586"/>
    <mergeCell ref="B575:D575"/>
    <mergeCell ref="B576:D576"/>
    <mergeCell ref="B577:D577"/>
    <mergeCell ref="B578:D578"/>
    <mergeCell ref="B579:D579"/>
    <mergeCell ref="B580:D580"/>
    <mergeCell ref="B593:D593"/>
    <mergeCell ref="B594:D594"/>
    <mergeCell ref="B595:D595"/>
    <mergeCell ref="B596:D596"/>
    <mergeCell ref="B597:D597"/>
    <mergeCell ref="B587:D587"/>
    <mergeCell ref="B588:D588"/>
    <mergeCell ref="B589:D589"/>
    <mergeCell ref="B590:D590"/>
    <mergeCell ref="B591:D591"/>
    <mergeCell ref="B592:D592"/>
    <mergeCell ref="B604:D604"/>
    <mergeCell ref="B605:D605"/>
    <mergeCell ref="B606:D606"/>
    <mergeCell ref="B607:D607"/>
    <mergeCell ref="B608:D608"/>
    <mergeCell ref="B609:D609"/>
    <mergeCell ref="B598:D598"/>
    <mergeCell ref="B599:D599"/>
    <mergeCell ref="B600:D600"/>
    <mergeCell ref="B601:D601"/>
    <mergeCell ref="B602:D602"/>
    <mergeCell ref="B603:D603"/>
    <mergeCell ref="B616:D616"/>
    <mergeCell ref="B617:D617"/>
    <mergeCell ref="B618:D618"/>
    <mergeCell ref="B619:D619"/>
    <mergeCell ref="B620:D620"/>
    <mergeCell ref="B621:D621"/>
    <mergeCell ref="B610:D610"/>
    <mergeCell ref="B611:D611"/>
    <mergeCell ref="B612:D612"/>
    <mergeCell ref="B613:D613"/>
    <mergeCell ref="B614:D614"/>
    <mergeCell ref="B615:D615"/>
    <mergeCell ref="B628:D628"/>
    <mergeCell ref="B629:D629"/>
    <mergeCell ref="B630:D630"/>
    <mergeCell ref="B631:D631"/>
    <mergeCell ref="B632:D632"/>
    <mergeCell ref="B633:D633"/>
    <mergeCell ref="B622:D622"/>
    <mergeCell ref="B623:D623"/>
    <mergeCell ref="B624:D624"/>
    <mergeCell ref="B625:D625"/>
    <mergeCell ref="B626:D626"/>
    <mergeCell ref="B627:D627"/>
    <mergeCell ref="B640:D640"/>
    <mergeCell ref="B641:D641"/>
    <mergeCell ref="B642:D642"/>
    <mergeCell ref="B643:D643"/>
    <mergeCell ref="B644:D644"/>
    <mergeCell ref="B645:D645"/>
    <mergeCell ref="B634:D634"/>
    <mergeCell ref="B635:D635"/>
    <mergeCell ref="B636:D636"/>
    <mergeCell ref="B637:D637"/>
    <mergeCell ref="B638:D638"/>
    <mergeCell ref="B639:D639"/>
    <mergeCell ref="B651:D651"/>
    <mergeCell ref="B652:D652"/>
    <mergeCell ref="B653:D653"/>
    <mergeCell ref="B654:D654"/>
    <mergeCell ref="B655:D655"/>
    <mergeCell ref="B656:D656"/>
    <mergeCell ref="B646:D646"/>
    <mergeCell ref="B647:D647"/>
    <mergeCell ref="B648:D648"/>
    <mergeCell ref="B649:D649"/>
    <mergeCell ref="B650:D650"/>
    <mergeCell ref="B663:D663"/>
    <mergeCell ref="B664:D664"/>
    <mergeCell ref="B665:D665"/>
    <mergeCell ref="B666:D666"/>
    <mergeCell ref="B667:D667"/>
    <mergeCell ref="B668:D668"/>
    <mergeCell ref="B657:D657"/>
    <mergeCell ref="B658:D658"/>
    <mergeCell ref="B659:D659"/>
    <mergeCell ref="B660:D660"/>
    <mergeCell ref="B661:D661"/>
    <mergeCell ref="B662:D662"/>
    <mergeCell ref="B675:D675"/>
    <mergeCell ref="B676:D676"/>
    <mergeCell ref="B677:D677"/>
    <mergeCell ref="B678:D678"/>
    <mergeCell ref="B679:D679"/>
    <mergeCell ref="B680:D680"/>
    <mergeCell ref="B669:D669"/>
    <mergeCell ref="B670:D670"/>
    <mergeCell ref="B671:D671"/>
    <mergeCell ref="B672:D672"/>
    <mergeCell ref="B673:D673"/>
    <mergeCell ref="B674:D674"/>
    <mergeCell ref="B687:D687"/>
    <mergeCell ref="B688:D688"/>
    <mergeCell ref="B689:D689"/>
    <mergeCell ref="B690:D690"/>
    <mergeCell ref="B691:D691"/>
    <mergeCell ref="B692:D692"/>
    <mergeCell ref="B681:D681"/>
    <mergeCell ref="B682:D682"/>
    <mergeCell ref="B683:D683"/>
    <mergeCell ref="B684:D684"/>
    <mergeCell ref="B685:D685"/>
    <mergeCell ref="B686:D686"/>
    <mergeCell ref="B699:D699"/>
    <mergeCell ref="B700:D700"/>
    <mergeCell ref="B701:D701"/>
    <mergeCell ref="B702:D702"/>
    <mergeCell ref="B703:D703"/>
    <mergeCell ref="B704:D704"/>
    <mergeCell ref="B693:D693"/>
    <mergeCell ref="B694:D694"/>
    <mergeCell ref="B695:D695"/>
    <mergeCell ref="B696:D696"/>
    <mergeCell ref="B697:D697"/>
    <mergeCell ref="B698:D698"/>
    <mergeCell ref="B710:D710"/>
    <mergeCell ref="B711:D711"/>
    <mergeCell ref="B712:D712"/>
    <mergeCell ref="B713:D713"/>
    <mergeCell ref="B714:D714"/>
    <mergeCell ref="B715:D715"/>
    <mergeCell ref="B705:D705"/>
    <mergeCell ref="B706:D706"/>
    <mergeCell ref="B707:D707"/>
    <mergeCell ref="B708:D708"/>
    <mergeCell ref="B709:D709"/>
    <mergeCell ref="B722:D722"/>
    <mergeCell ref="B723:D723"/>
    <mergeCell ref="B724:D724"/>
    <mergeCell ref="B725:D725"/>
    <mergeCell ref="B726:D726"/>
    <mergeCell ref="B727:D727"/>
    <mergeCell ref="B716:D716"/>
    <mergeCell ref="B717:D717"/>
    <mergeCell ref="B718:D718"/>
    <mergeCell ref="B719:D719"/>
    <mergeCell ref="B720:D720"/>
    <mergeCell ref="B721:D721"/>
    <mergeCell ref="B734:D734"/>
    <mergeCell ref="B735:D735"/>
    <mergeCell ref="B736:D736"/>
    <mergeCell ref="B737:D737"/>
    <mergeCell ref="B738:D738"/>
    <mergeCell ref="B739:D739"/>
    <mergeCell ref="B728:D728"/>
    <mergeCell ref="B729:D729"/>
    <mergeCell ref="B730:D730"/>
    <mergeCell ref="B731:D731"/>
    <mergeCell ref="B732:D732"/>
    <mergeCell ref="B733:D733"/>
    <mergeCell ref="B746:D746"/>
    <mergeCell ref="B747:D747"/>
    <mergeCell ref="B748:D748"/>
    <mergeCell ref="B749:D749"/>
    <mergeCell ref="B750:D750"/>
    <mergeCell ref="B751:D751"/>
    <mergeCell ref="B740:D740"/>
    <mergeCell ref="B741:D741"/>
    <mergeCell ref="B742:D742"/>
    <mergeCell ref="B743:D743"/>
    <mergeCell ref="B744:D744"/>
    <mergeCell ref="B745:D745"/>
    <mergeCell ref="B758:D758"/>
    <mergeCell ref="B759:D759"/>
    <mergeCell ref="B760:D760"/>
    <mergeCell ref="B761:D761"/>
    <mergeCell ref="B762:D762"/>
    <mergeCell ref="B752:D752"/>
    <mergeCell ref="B753:D753"/>
    <mergeCell ref="B754:D754"/>
    <mergeCell ref="B755:D755"/>
    <mergeCell ref="B756:D756"/>
    <mergeCell ref="B757:D757"/>
    <mergeCell ref="B769:D769"/>
    <mergeCell ref="B770:D770"/>
    <mergeCell ref="B771:D771"/>
    <mergeCell ref="B772:D772"/>
    <mergeCell ref="B773:D773"/>
    <mergeCell ref="B774:D774"/>
    <mergeCell ref="B763:D763"/>
    <mergeCell ref="B764:D764"/>
    <mergeCell ref="B765:D765"/>
    <mergeCell ref="B766:D766"/>
    <mergeCell ref="B767:D767"/>
    <mergeCell ref="B768:D768"/>
    <mergeCell ref="B781:D781"/>
    <mergeCell ref="B782:D782"/>
    <mergeCell ref="B783:D783"/>
    <mergeCell ref="B784:D784"/>
    <mergeCell ref="B785:D785"/>
    <mergeCell ref="B786:D786"/>
    <mergeCell ref="B775:D775"/>
    <mergeCell ref="B776:D776"/>
    <mergeCell ref="B777:D777"/>
    <mergeCell ref="B778:D778"/>
    <mergeCell ref="B779:D779"/>
    <mergeCell ref="B780:D780"/>
    <mergeCell ref="B793:D793"/>
    <mergeCell ref="B794:D794"/>
    <mergeCell ref="B795:D795"/>
    <mergeCell ref="B796:D796"/>
    <mergeCell ref="B797:D797"/>
    <mergeCell ref="B798:D798"/>
    <mergeCell ref="B787:D787"/>
    <mergeCell ref="B788:D788"/>
    <mergeCell ref="B789:D789"/>
    <mergeCell ref="B790:D790"/>
    <mergeCell ref="B791:D791"/>
    <mergeCell ref="B792:D792"/>
    <mergeCell ref="B805:D805"/>
    <mergeCell ref="B806:D806"/>
    <mergeCell ref="B807:D807"/>
    <mergeCell ref="B808:D808"/>
    <mergeCell ref="B809:D809"/>
    <mergeCell ref="B810:D810"/>
    <mergeCell ref="B799:D799"/>
    <mergeCell ref="B800:D800"/>
    <mergeCell ref="B801:D801"/>
    <mergeCell ref="B802:D802"/>
    <mergeCell ref="B803:D803"/>
    <mergeCell ref="B804:D804"/>
    <mergeCell ref="B816:D816"/>
    <mergeCell ref="B817:D817"/>
    <mergeCell ref="B818:D818"/>
    <mergeCell ref="B819:D819"/>
    <mergeCell ref="B820:D820"/>
    <mergeCell ref="B821:D821"/>
    <mergeCell ref="B811:D811"/>
    <mergeCell ref="B812:D812"/>
    <mergeCell ref="B813:D813"/>
    <mergeCell ref="B814:D814"/>
    <mergeCell ref="B815:D815"/>
    <mergeCell ref="B828:D828"/>
    <mergeCell ref="B829:D829"/>
    <mergeCell ref="B830:D830"/>
    <mergeCell ref="B831:D831"/>
    <mergeCell ref="B832:D832"/>
    <mergeCell ref="B833:D833"/>
    <mergeCell ref="B822:D822"/>
    <mergeCell ref="B823:D823"/>
    <mergeCell ref="B824:D824"/>
    <mergeCell ref="B825:D825"/>
    <mergeCell ref="B826:D826"/>
    <mergeCell ref="B827:D827"/>
    <mergeCell ref="B840:D840"/>
    <mergeCell ref="B841:D841"/>
    <mergeCell ref="B842:D842"/>
    <mergeCell ref="B843:D843"/>
    <mergeCell ref="B844:D844"/>
    <mergeCell ref="B845:D845"/>
    <mergeCell ref="B834:D834"/>
    <mergeCell ref="B835:D835"/>
    <mergeCell ref="B836:D836"/>
    <mergeCell ref="B837:D837"/>
    <mergeCell ref="B838:D838"/>
    <mergeCell ref="B839:D839"/>
    <mergeCell ref="B852:D852"/>
    <mergeCell ref="B853:D853"/>
    <mergeCell ref="B854:D854"/>
    <mergeCell ref="B855:D855"/>
    <mergeCell ref="B856:D856"/>
    <mergeCell ref="B857:D857"/>
    <mergeCell ref="B846:D846"/>
    <mergeCell ref="B847:D847"/>
    <mergeCell ref="B848:D848"/>
    <mergeCell ref="B849:D849"/>
    <mergeCell ref="B850:D850"/>
    <mergeCell ref="B851:D851"/>
    <mergeCell ref="B864:D864"/>
    <mergeCell ref="B865:D865"/>
    <mergeCell ref="B866:D866"/>
    <mergeCell ref="B867:D867"/>
    <mergeCell ref="B868:D868"/>
    <mergeCell ref="B858:D858"/>
    <mergeCell ref="B859:D859"/>
    <mergeCell ref="B860:D860"/>
    <mergeCell ref="B861:D861"/>
    <mergeCell ref="B862:D862"/>
    <mergeCell ref="B863:D863"/>
    <mergeCell ref="B875:D875"/>
    <mergeCell ref="B876:D876"/>
    <mergeCell ref="B877:D877"/>
    <mergeCell ref="B878:D878"/>
    <mergeCell ref="B879:D879"/>
    <mergeCell ref="A881:C881"/>
    <mergeCell ref="B869:D869"/>
    <mergeCell ref="B870:D870"/>
    <mergeCell ref="B871:D871"/>
    <mergeCell ref="B872:D872"/>
    <mergeCell ref="B873:D873"/>
    <mergeCell ref="B874:D874"/>
  </mergeCells>
  <pageMargins left="0.75" right="0.75" top="1" bottom="1" header="0.5" footer="0.5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9"/>
  <sheetViews>
    <sheetView topLeftCell="A694" workbookViewId="0">
      <selection activeCell="F709" sqref="F709"/>
    </sheetView>
  </sheetViews>
  <sheetFormatPr defaultRowHeight="12.75" x14ac:dyDescent="0.2"/>
  <cols>
    <col min="1" max="1" width="13.85546875" style="28" customWidth="1"/>
    <col min="2" max="2" width="2.140625" style="28" customWidth="1"/>
    <col min="3" max="3" width="23.5703125" style="28" customWidth="1"/>
    <col min="4" max="4" width="26.85546875" style="28" customWidth="1"/>
    <col min="5" max="5" width="16.140625" style="28" customWidth="1"/>
    <col min="6" max="6" width="15.42578125" style="28" customWidth="1"/>
    <col min="7" max="7" width="2.140625" style="28" customWidth="1"/>
    <col min="8" max="8" width="14" style="28" customWidth="1"/>
    <col min="9" max="9" width="2.140625" style="28" customWidth="1"/>
    <col min="10" max="10" width="15.42578125" style="28" customWidth="1"/>
    <col min="11" max="256" width="9.140625" style="28"/>
    <col min="257" max="257" width="13.85546875" style="28" customWidth="1"/>
    <col min="258" max="258" width="2.140625" style="28" customWidth="1"/>
    <col min="259" max="259" width="23.5703125" style="28" customWidth="1"/>
    <col min="260" max="260" width="26.85546875" style="28" customWidth="1"/>
    <col min="261" max="261" width="16.140625" style="28" customWidth="1"/>
    <col min="262" max="262" width="15.42578125" style="28" customWidth="1"/>
    <col min="263" max="263" width="2.140625" style="28" customWidth="1"/>
    <col min="264" max="264" width="14" style="28" customWidth="1"/>
    <col min="265" max="265" width="2.140625" style="28" customWidth="1"/>
    <col min="266" max="266" width="15.42578125" style="28" customWidth="1"/>
    <col min="267" max="512" width="9.140625" style="28"/>
    <col min="513" max="513" width="13.85546875" style="28" customWidth="1"/>
    <col min="514" max="514" width="2.140625" style="28" customWidth="1"/>
    <col min="515" max="515" width="23.5703125" style="28" customWidth="1"/>
    <col min="516" max="516" width="26.85546875" style="28" customWidth="1"/>
    <col min="517" max="517" width="16.140625" style="28" customWidth="1"/>
    <col min="518" max="518" width="15.42578125" style="28" customWidth="1"/>
    <col min="519" max="519" width="2.140625" style="28" customWidth="1"/>
    <col min="520" max="520" width="14" style="28" customWidth="1"/>
    <col min="521" max="521" width="2.140625" style="28" customWidth="1"/>
    <col min="522" max="522" width="15.42578125" style="28" customWidth="1"/>
    <col min="523" max="768" width="9.140625" style="28"/>
    <col min="769" max="769" width="13.85546875" style="28" customWidth="1"/>
    <col min="770" max="770" width="2.140625" style="28" customWidth="1"/>
    <col min="771" max="771" width="23.5703125" style="28" customWidth="1"/>
    <col min="772" max="772" width="26.85546875" style="28" customWidth="1"/>
    <col min="773" max="773" width="16.140625" style="28" customWidth="1"/>
    <col min="774" max="774" width="15.42578125" style="28" customWidth="1"/>
    <col min="775" max="775" width="2.140625" style="28" customWidth="1"/>
    <col min="776" max="776" width="14" style="28" customWidth="1"/>
    <col min="777" max="777" width="2.140625" style="28" customWidth="1"/>
    <col min="778" max="778" width="15.42578125" style="28" customWidth="1"/>
    <col min="779" max="1024" width="9.140625" style="28"/>
    <col min="1025" max="1025" width="13.85546875" style="28" customWidth="1"/>
    <col min="1026" max="1026" width="2.140625" style="28" customWidth="1"/>
    <col min="1027" max="1027" width="23.5703125" style="28" customWidth="1"/>
    <col min="1028" max="1028" width="26.85546875" style="28" customWidth="1"/>
    <col min="1029" max="1029" width="16.140625" style="28" customWidth="1"/>
    <col min="1030" max="1030" width="15.42578125" style="28" customWidth="1"/>
    <col min="1031" max="1031" width="2.140625" style="28" customWidth="1"/>
    <col min="1032" max="1032" width="14" style="28" customWidth="1"/>
    <col min="1033" max="1033" width="2.140625" style="28" customWidth="1"/>
    <col min="1034" max="1034" width="15.42578125" style="28" customWidth="1"/>
    <col min="1035" max="1280" width="9.140625" style="28"/>
    <col min="1281" max="1281" width="13.85546875" style="28" customWidth="1"/>
    <col min="1282" max="1282" width="2.140625" style="28" customWidth="1"/>
    <col min="1283" max="1283" width="23.5703125" style="28" customWidth="1"/>
    <col min="1284" max="1284" width="26.85546875" style="28" customWidth="1"/>
    <col min="1285" max="1285" width="16.140625" style="28" customWidth="1"/>
    <col min="1286" max="1286" width="15.42578125" style="28" customWidth="1"/>
    <col min="1287" max="1287" width="2.140625" style="28" customWidth="1"/>
    <col min="1288" max="1288" width="14" style="28" customWidth="1"/>
    <col min="1289" max="1289" width="2.140625" style="28" customWidth="1"/>
    <col min="1290" max="1290" width="15.42578125" style="28" customWidth="1"/>
    <col min="1291" max="1536" width="9.140625" style="28"/>
    <col min="1537" max="1537" width="13.85546875" style="28" customWidth="1"/>
    <col min="1538" max="1538" width="2.140625" style="28" customWidth="1"/>
    <col min="1539" max="1539" width="23.5703125" style="28" customWidth="1"/>
    <col min="1540" max="1540" width="26.85546875" style="28" customWidth="1"/>
    <col min="1541" max="1541" width="16.140625" style="28" customWidth="1"/>
    <col min="1542" max="1542" width="15.42578125" style="28" customWidth="1"/>
    <col min="1543" max="1543" width="2.140625" style="28" customWidth="1"/>
    <col min="1544" max="1544" width="14" style="28" customWidth="1"/>
    <col min="1545" max="1545" width="2.140625" style="28" customWidth="1"/>
    <col min="1546" max="1546" width="15.42578125" style="28" customWidth="1"/>
    <col min="1547" max="1792" width="9.140625" style="28"/>
    <col min="1793" max="1793" width="13.85546875" style="28" customWidth="1"/>
    <col min="1794" max="1794" width="2.140625" style="28" customWidth="1"/>
    <col min="1795" max="1795" width="23.5703125" style="28" customWidth="1"/>
    <col min="1796" max="1796" width="26.85546875" style="28" customWidth="1"/>
    <col min="1797" max="1797" width="16.140625" style="28" customWidth="1"/>
    <col min="1798" max="1798" width="15.42578125" style="28" customWidth="1"/>
    <col min="1799" max="1799" width="2.140625" style="28" customWidth="1"/>
    <col min="1800" max="1800" width="14" style="28" customWidth="1"/>
    <col min="1801" max="1801" width="2.140625" style="28" customWidth="1"/>
    <col min="1802" max="1802" width="15.42578125" style="28" customWidth="1"/>
    <col min="1803" max="2048" width="9.140625" style="28"/>
    <col min="2049" max="2049" width="13.85546875" style="28" customWidth="1"/>
    <col min="2050" max="2050" width="2.140625" style="28" customWidth="1"/>
    <col min="2051" max="2051" width="23.5703125" style="28" customWidth="1"/>
    <col min="2052" max="2052" width="26.85546875" style="28" customWidth="1"/>
    <col min="2053" max="2053" width="16.140625" style="28" customWidth="1"/>
    <col min="2054" max="2054" width="15.42578125" style="28" customWidth="1"/>
    <col min="2055" max="2055" width="2.140625" style="28" customWidth="1"/>
    <col min="2056" max="2056" width="14" style="28" customWidth="1"/>
    <col min="2057" max="2057" width="2.140625" style="28" customWidth="1"/>
    <col min="2058" max="2058" width="15.42578125" style="28" customWidth="1"/>
    <col min="2059" max="2304" width="9.140625" style="28"/>
    <col min="2305" max="2305" width="13.85546875" style="28" customWidth="1"/>
    <col min="2306" max="2306" width="2.140625" style="28" customWidth="1"/>
    <col min="2307" max="2307" width="23.5703125" style="28" customWidth="1"/>
    <col min="2308" max="2308" width="26.85546875" style="28" customWidth="1"/>
    <col min="2309" max="2309" width="16.140625" style="28" customWidth="1"/>
    <col min="2310" max="2310" width="15.42578125" style="28" customWidth="1"/>
    <col min="2311" max="2311" width="2.140625" style="28" customWidth="1"/>
    <col min="2312" max="2312" width="14" style="28" customWidth="1"/>
    <col min="2313" max="2313" width="2.140625" style="28" customWidth="1"/>
    <col min="2314" max="2314" width="15.42578125" style="28" customWidth="1"/>
    <col min="2315" max="2560" width="9.140625" style="28"/>
    <col min="2561" max="2561" width="13.85546875" style="28" customWidth="1"/>
    <col min="2562" max="2562" width="2.140625" style="28" customWidth="1"/>
    <col min="2563" max="2563" width="23.5703125" style="28" customWidth="1"/>
    <col min="2564" max="2564" width="26.85546875" style="28" customWidth="1"/>
    <col min="2565" max="2565" width="16.140625" style="28" customWidth="1"/>
    <col min="2566" max="2566" width="15.42578125" style="28" customWidth="1"/>
    <col min="2567" max="2567" width="2.140625" style="28" customWidth="1"/>
    <col min="2568" max="2568" width="14" style="28" customWidth="1"/>
    <col min="2569" max="2569" width="2.140625" style="28" customWidth="1"/>
    <col min="2570" max="2570" width="15.42578125" style="28" customWidth="1"/>
    <col min="2571" max="2816" width="9.140625" style="28"/>
    <col min="2817" max="2817" width="13.85546875" style="28" customWidth="1"/>
    <col min="2818" max="2818" width="2.140625" style="28" customWidth="1"/>
    <col min="2819" max="2819" width="23.5703125" style="28" customWidth="1"/>
    <col min="2820" max="2820" width="26.85546875" style="28" customWidth="1"/>
    <col min="2821" max="2821" width="16.140625" style="28" customWidth="1"/>
    <col min="2822" max="2822" width="15.42578125" style="28" customWidth="1"/>
    <col min="2823" max="2823" width="2.140625" style="28" customWidth="1"/>
    <col min="2824" max="2824" width="14" style="28" customWidth="1"/>
    <col min="2825" max="2825" width="2.140625" style="28" customWidth="1"/>
    <col min="2826" max="2826" width="15.42578125" style="28" customWidth="1"/>
    <col min="2827" max="3072" width="9.140625" style="28"/>
    <col min="3073" max="3073" width="13.85546875" style="28" customWidth="1"/>
    <col min="3074" max="3074" width="2.140625" style="28" customWidth="1"/>
    <col min="3075" max="3075" width="23.5703125" style="28" customWidth="1"/>
    <col min="3076" max="3076" width="26.85546875" style="28" customWidth="1"/>
    <col min="3077" max="3077" width="16.140625" style="28" customWidth="1"/>
    <col min="3078" max="3078" width="15.42578125" style="28" customWidth="1"/>
    <col min="3079" max="3079" width="2.140625" style="28" customWidth="1"/>
    <col min="3080" max="3080" width="14" style="28" customWidth="1"/>
    <col min="3081" max="3081" width="2.140625" style="28" customWidth="1"/>
    <col min="3082" max="3082" width="15.42578125" style="28" customWidth="1"/>
    <col min="3083" max="3328" width="9.140625" style="28"/>
    <col min="3329" max="3329" width="13.85546875" style="28" customWidth="1"/>
    <col min="3330" max="3330" width="2.140625" style="28" customWidth="1"/>
    <col min="3331" max="3331" width="23.5703125" style="28" customWidth="1"/>
    <col min="3332" max="3332" width="26.85546875" style="28" customWidth="1"/>
    <col min="3333" max="3333" width="16.140625" style="28" customWidth="1"/>
    <col min="3334" max="3334" width="15.42578125" style="28" customWidth="1"/>
    <col min="3335" max="3335" width="2.140625" style="28" customWidth="1"/>
    <col min="3336" max="3336" width="14" style="28" customWidth="1"/>
    <col min="3337" max="3337" width="2.140625" style="28" customWidth="1"/>
    <col min="3338" max="3338" width="15.42578125" style="28" customWidth="1"/>
    <col min="3339" max="3584" width="9.140625" style="28"/>
    <col min="3585" max="3585" width="13.85546875" style="28" customWidth="1"/>
    <col min="3586" max="3586" width="2.140625" style="28" customWidth="1"/>
    <col min="3587" max="3587" width="23.5703125" style="28" customWidth="1"/>
    <col min="3588" max="3588" width="26.85546875" style="28" customWidth="1"/>
    <col min="3589" max="3589" width="16.140625" style="28" customWidth="1"/>
    <col min="3590" max="3590" width="15.42578125" style="28" customWidth="1"/>
    <col min="3591" max="3591" width="2.140625" style="28" customWidth="1"/>
    <col min="3592" max="3592" width="14" style="28" customWidth="1"/>
    <col min="3593" max="3593" width="2.140625" style="28" customWidth="1"/>
    <col min="3594" max="3594" width="15.42578125" style="28" customWidth="1"/>
    <col min="3595" max="3840" width="9.140625" style="28"/>
    <col min="3841" max="3841" width="13.85546875" style="28" customWidth="1"/>
    <col min="3842" max="3842" width="2.140625" style="28" customWidth="1"/>
    <col min="3843" max="3843" width="23.5703125" style="28" customWidth="1"/>
    <col min="3844" max="3844" width="26.85546875" style="28" customWidth="1"/>
    <col min="3845" max="3845" width="16.140625" style="28" customWidth="1"/>
    <col min="3846" max="3846" width="15.42578125" style="28" customWidth="1"/>
    <col min="3847" max="3847" width="2.140625" style="28" customWidth="1"/>
    <col min="3848" max="3848" width="14" style="28" customWidth="1"/>
    <col min="3849" max="3849" width="2.140625" style="28" customWidth="1"/>
    <col min="3850" max="3850" width="15.42578125" style="28" customWidth="1"/>
    <col min="3851" max="4096" width="9.140625" style="28"/>
    <col min="4097" max="4097" width="13.85546875" style="28" customWidth="1"/>
    <col min="4098" max="4098" width="2.140625" style="28" customWidth="1"/>
    <col min="4099" max="4099" width="23.5703125" style="28" customWidth="1"/>
    <col min="4100" max="4100" width="26.85546875" style="28" customWidth="1"/>
    <col min="4101" max="4101" width="16.140625" style="28" customWidth="1"/>
    <col min="4102" max="4102" width="15.42578125" style="28" customWidth="1"/>
    <col min="4103" max="4103" width="2.140625" style="28" customWidth="1"/>
    <col min="4104" max="4104" width="14" style="28" customWidth="1"/>
    <col min="4105" max="4105" width="2.140625" style="28" customWidth="1"/>
    <col min="4106" max="4106" width="15.42578125" style="28" customWidth="1"/>
    <col min="4107" max="4352" width="9.140625" style="28"/>
    <col min="4353" max="4353" width="13.85546875" style="28" customWidth="1"/>
    <col min="4354" max="4354" width="2.140625" style="28" customWidth="1"/>
    <col min="4355" max="4355" width="23.5703125" style="28" customWidth="1"/>
    <col min="4356" max="4356" width="26.85546875" style="28" customWidth="1"/>
    <col min="4357" max="4357" width="16.140625" style="28" customWidth="1"/>
    <col min="4358" max="4358" width="15.42578125" style="28" customWidth="1"/>
    <col min="4359" max="4359" width="2.140625" style="28" customWidth="1"/>
    <col min="4360" max="4360" width="14" style="28" customWidth="1"/>
    <col min="4361" max="4361" width="2.140625" style="28" customWidth="1"/>
    <col min="4362" max="4362" width="15.42578125" style="28" customWidth="1"/>
    <col min="4363" max="4608" width="9.140625" style="28"/>
    <col min="4609" max="4609" width="13.85546875" style="28" customWidth="1"/>
    <col min="4610" max="4610" width="2.140625" style="28" customWidth="1"/>
    <col min="4611" max="4611" width="23.5703125" style="28" customWidth="1"/>
    <col min="4612" max="4612" width="26.85546875" style="28" customWidth="1"/>
    <col min="4613" max="4613" width="16.140625" style="28" customWidth="1"/>
    <col min="4614" max="4614" width="15.42578125" style="28" customWidth="1"/>
    <col min="4615" max="4615" width="2.140625" style="28" customWidth="1"/>
    <col min="4616" max="4616" width="14" style="28" customWidth="1"/>
    <col min="4617" max="4617" width="2.140625" style="28" customWidth="1"/>
    <col min="4618" max="4618" width="15.42578125" style="28" customWidth="1"/>
    <col min="4619" max="4864" width="9.140625" style="28"/>
    <col min="4865" max="4865" width="13.85546875" style="28" customWidth="1"/>
    <col min="4866" max="4866" width="2.140625" style="28" customWidth="1"/>
    <col min="4867" max="4867" width="23.5703125" style="28" customWidth="1"/>
    <col min="4868" max="4868" width="26.85546875" style="28" customWidth="1"/>
    <col min="4869" max="4869" width="16.140625" style="28" customWidth="1"/>
    <col min="4870" max="4870" width="15.42578125" style="28" customWidth="1"/>
    <col min="4871" max="4871" width="2.140625" style="28" customWidth="1"/>
    <col min="4872" max="4872" width="14" style="28" customWidth="1"/>
    <col min="4873" max="4873" width="2.140625" style="28" customWidth="1"/>
    <col min="4874" max="4874" width="15.42578125" style="28" customWidth="1"/>
    <col min="4875" max="5120" width="9.140625" style="28"/>
    <col min="5121" max="5121" width="13.85546875" style="28" customWidth="1"/>
    <col min="5122" max="5122" width="2.140625" style="28" customWidth="1"/>
    <col min="5123" max="5123" width="23.5703125" style="28" customWidth="1"/>
    <col min="5124" max="5124" width="26.85546875" style="28" customWidth="1"/>
    <col min="5125" max="5125" width="16.140625" style="28" customWidth="1"/>
    <col min="5126" max="5126" width="15.42578125" style="28" customWidth="1"/>
    <col min="5127" max="5127" width="2.140625" style="28" customWidth="1"/>
    <col min="5128" max="5128" width="14" style="28" customWidth="1"/>
    <col min="5129" max="5129" width="2.140625" style="28" customWidth="1"/>
    <col min="5130" max="5130" width="15.42578125" style="28" customWidth="1"/>
    <col min="5131" max="5376" width="9.140625" style="28"/>
    <col min="5377" max="5377" width="13.85546875" style="28" customWidth="1"/>
    <col min="5378" max="5378" width="2.140625" style="28" customWidth="1"/>
    <col min="5379" max="5379" width="23.5703125" style="28" customWidth="1"/>
    <col min="5380" max="5380" width="26.85546875" style="28" customWidth="1"/>
    <col min="5381" max="5381" width="16.140625" style="28" customWidth="1"/>
    <col min="5382" max="5382" width="15.42578125" style="28" customWidth="1"/>
    <col min="5383" max="5383" width="2.140625" style="28" customWidth="1"/>
    <col min="5384" max="5384" width="14" style="28" customWidth="1"/>
    <col min="5385" max="5385" width="2.140625" style="28" customWidth="1"/>
    <col min="5386" max="5386" width="15.42578125" style="28" customWidth="1"/>
    <col min="5387" max="5632" width="9.140625" style="28"/>
    <col min="5633" max="5633" width="13.85546875" style="28" customWidth="1"/>
    <col min="5634" max="5634" width="2.140625" style="28" customWidth="1"/>
    <col min="5635" max="5635" width="23.5703125" style="28" customWidth="1"/>
    <col min="5636" max="5636" width="26.85546875" style="28" customWidth="1"/>
    <col min="5637" max="5637" width="16.140625" style="28" customWidth="1"/>
    <col min="5638" max="5638" width="15.42578125" style="28" customWidth="1"/>
    <col min="5639" max="5639" width="2.140625" style="28" customWidth="1"/>
    <col min="5640" max="5640" width="14" style="28" customWidth="1"/>
    <col min="5641" max="5641" width="2.140625" style="28" customWidth="1"/>
    <col min="5642" max="5642" width="15.42578125" style="28" customWidth="1"/>
    <col min="5643" max="5888" width="9.140625" style="28"/>
    <col min="5889" max="5889" width="13.85546875" style="28" customWidth="1"/>
    <col min="5890" max="5890" width="2.140625" style="28" customWidth="1"/>
    <col min="5891" max="5891" width="23.5703125" style="28" customWidth="1"/>
    <col min="5892" max="5892" width="26.85546875" style="28" customWidth="1"/>
    <col min="5893" max="5893" width="16.140625" style="28" customWidth="1"/>
    <col min="5894" max="5894" width="15.42578125" style="28" customWidth="1"/>
    <col min="5895" max="5895" width="2.140625" style="28" customWidth="1"/>
    <col min="5896" max="5896" width="14" style="28" customWidth="1"/>
    <col min="5897" max="5897" width="2.140625" style="28" customWidth="1"/>
    <col min="5898" max="5898" width="15.42578125" style="28" customWidth="1"/>
    <col min="5899" max="6144" width="9.140625" style="28"/>
    <col min="6145" max="6145" width="13.85546875" style="28" customWidth="1"/>
    <col min="6146" max="6146" width="2.140625" style="28" customWidth="1"/>
    <col min="6147" max="6147" width="23.5703125" style="28" customWidth="1"/>
    <col min="6148" max="6148" width="26.85546875" style="28" customWidth="1"/>
    <col min="6149" max="6149" width="16.140625" style="28" customWidth="1"/>
    <col min="6150" max="6150" width="15.42578125" style="28" customWidth="1"/>
    <col min="6151" max="6151" width="2.140625" style="28" customWidth="1"/>
    <col min="6152" max="6152" width="14" style="28" customWidth="1"/>
    <col min="6153" max="6153" width="2.140625" style="28" customWidth="1"/>
    <col min="6154" max="6154" width="15.42578125" style="28" customWidth="1"/>
    <col min="6155" max="6400" width="9.140625" style="28"/>
    <col min="6401" max="6401" width="13.85546875" style="28" customWidth="1"/>
    <col min="6402" max="6402" width="2.140625" style="28" customWidth="1"/>
    <col min="6403" max="6403" width="23.5703125" style="28" customWidth="1"/>
    <col min="6404" max="6404" width="26.85546875" style="28" customWidth="1"/>
    <col min="6405" max="6405" width="16.140625" style="28" customWidth="1"/>
    <col min="6406" max="6406" width="15.42578125" style="28" customWidth="1"/>
    <col min="6407" max="6407" width="2.140625" style="28" customWidth="1"/>
    <col min="6408" max="6408" width="14" style="28" customWidth="1"/>
    <col min="6409" max="6409" width="2.140625" style="28" customWidth="1"/>
    <col min="6410" max="6410" width="15.42578125" style="28" customWidth="1"/>
    <col min="6411" max="6656" width="9.140625" style="28"/>
    <col min="6657" max="6657" width="13.85546875" style="28" customWidth="1"/>
    <col min="6658" max="6658" width="2.140625" style="28" customWidth="1"/>
    <col min="6659" max="6659" width="23.5703125" style="28" customWidth="1"/>
    <col min="6660" max="6660" width="26.85546875" style="28" customWidth="1"/>
    <col min="6661" max="6661" width="16.140625" style="28" customWidth="1"/>
    <col min="6662" max="6662" width="15.42578125" style="28" customWidth="1"/>
    <col min="6663" max="6663" width="2.140625" style="28" customWidth="1"/>
    <col min="6664" max="6664" width="14" style="28" customWidth="1"/>
    <col min="6665" max="6665" width="2.140625" style="28" customWidth="1"/>
    <col min="6666" max="6666" width="15.42578125" style="28" customWidth="1"/>
    <col min="6667" max="6912" width="9.140625" style="28"/>
    <col min="6913" max="6913" width="13.85546875" style="28" customWidth="1"/>
    <col min="6914" max="6914" width="2.140625" style="28" customWidth="1"/>
    <col min="6915" max="6915" width="23.5703125" style="28" customWidth="1"/>
    <col min="6916" max="6916" width="26.85546875" style="28" customWidth="1"/>
    <col min="6917" max="6917" width="16.140625" style="28" customWidth="1"/>
    <col min="6918" max="6918" width="15.42578125" style="28" customWidth="1"/>
    <col min="6919" max="6919" width="2.140625" style="28" customWidth="1"/>
    <col min="6920" max="6920" width="14" style="28" customWidth="1"/>
    <col min="6921" max="6921" width="2.140625" style="28" customWidth="1"/>
    <col min="6922" max="6922" width="15.42578125" style="28" customWidth="1"/>
    <col min="6923" max="7168" width="9.140625" style="28"/>
    <col min="7169" max="7169" width="13.85546875" style="28" customWidth="1"/>
    <col min="7170" max="7170" width="2.140625" style="28" customWidth="1"/>
    <col min="7171" max="7171" width="23.5703125" style="28" customWidth="1"/>
    <col min="7172" max="7172" width="26.85546875" style="28" customWidth="1"/>
    <col min="7173" max="7173" width="16.140625" style="28" customWidth="1"/>
    <col min="7174" max="7174" width="15.42578125" style="28" customWidth="1"/>
    <col min="7175" max="7175" width="2.140625" style="28" customWidth="1"/>
    <col min="7176" max="7176" width="14" style="28" customWidth="1"/>
    <col min="7177" max="7177" width="2.140625" style="28" customWidth="1"/>
    <col min="7178" max="7178" width="15.42578125" style="28" customWidth="1"/>
    <col min="7179" max="7424" width="9.140625" style="28"/>
    <col min="7425" max="7425" width="13.85546875" style="28" customWidth="1"/>
    <col min="7426" max="7426" width="2.140625" style="28" customWidth="1"/>
    <col min="7427" max="7427" width="23.5703125" style="28" customWidth="1"/>
    <col min="7428" max="7428" width="26.85546875" style="28" customWidth="1"/>
    <col min="7429" max="7429" width="16.140625" style="28" customWidth="1"/>
    <col min="7430" max="7430" width="15.42578125" style="28" customWidth="1"/>
    <col min="7431" max="7431" width="2.140625" style="28" customWidth="1"/>
    <col min="7432" max="7432" width="14" style="28" customWidth="1"/>
    <col min="7433" max="7433" width="2.140625" style="28" customWidth="1"/>
    <col min="7434" max="7434" width="15.42578125" style="28" customWidth="1"/>
    <col min="7435" max="7680" width="9.140625" style="28"/>
    <col min="7681" max="7681" width="13.85546875" style="28" customWidth="1"/>
    <col min="7682" max="7682" width="2.140625" style="28" customWidth="1"/>
    <col min="7683" max="7683" width="23.5703125" style="28" customWidth="1"/>
    <col min="7684" max="7684" width="26.85546875" style="28" customWidth="1"/>
    <col min="7685" max="7685" width="16.140625" style="28" customWidth="1"/>
    <col min="7686" max="7686" width="15.42578125" style="28" customWidth="1"/>
    <col min="7687" max="7687" width="2.140625" style="28" customWidth="1"/>
    <col min="7688" max="7688" width="14" style="28" customWidth="1"/>
    <col min="7689" max="7689" width="2.140625" style="28" customWidth="1"/>
    <col min="7690" max="7690" width="15.42578125" style="28" customWidth="1"/>
    <col min="7691" max="7936" width="9.140625" style="28"/>
    <col min="7937" max="7937" width="13.85546875" style="28" customWidth="1"/>
    <col min="7938" max="7938" width="2.140625" style="28" customWidth="1"/>
    <col min="7939" max="7939" width="23.5703125" style="28" customWidth="1"/>
    <col min="7940" max="7940" width="26.85546875" style="28" customWidth="1"/>
    <col min="7941" max="7941" width="16.140625" style="28" customWidth="1"/>
    <col min="7942" max="7942" width="15.42578125" style="28" customWidth="1"/>
    <col min="7943" max="7943" width="2.140625" style="28" customWidth="1"/>
    <col min="7944" max="7944" width="14" style="28" customWidth="1"/>
    <col min="7945" max="7945" width="2.140625" style="28" customWidth="1"/>
    <col min="7946" max="7946" width="15.42578125" style="28" customWidth="1"/>
    <col min="7947" max="8192" width="9.140625" style="28"/>
    <col min="8193" max="8193" width="13.85546875" style="28" customWidth="1"/>
    <col min="8194" max="8194" width="2.140625" style="28" customWidth="1"/>
    <col min="8195" max="8195" width="23.5703125" style="28" customWidth="1"/>
    <col min="8196" max="8196" width="26.85546875" style="28" customWidth="1"/>
    <col min="8197" max="8197" width="16.140625" style="28" customWidth="1"/>
    <col min="8198" max="8198" width="15.42578125" style="28" customWidth="1"/>
    <col min="8199" max="8199" width="2.140625" style="28" customWidth="1"/>
    <col min="8200" max="8200" width="14" style="28" customWidth="1"/>
    <col min="8201" max="8201" width="2.140625" style="28" customWidth="1"/>
    <col min="8202" max="8202" width="15.42578125" style="28" customWidth="1"/>
    <col min="8203" max="8448" width="9.140625" style="28"/>
    <col min="8449" max="8449" width="13.85546875" style="28" customWidth="1"/>
    <col min="8450" max="8450" width="2.140625" style="28" customWidth="1"/>
    <col min="8451" max="8451" width="23.5703125" style="28" customWidth="1"/>
    <col min="8452" max="8452" width="26.85546875" style="28" customWidth="1"/>
    <col min="8453" max="8453" width="16.140625" style="28" customWidth="1"/>
    <col min="8454" max="8454" width="15.42578125" style="28" customWidth="1"/>
    <col min="8455" max="8455" width="2.140625" style="28" customWidth="1"/>
    <col min="8456" max="8456" width="14" style="28" customWidth="1"/>
    <col min="8457" max="8457" width="2.140625" style="28" customWidth="1"/>
    <col min="8458" max="8458" width="15.42578125" style="28" customWidth="1"/>
    <col min="8459" max="8704" width="9.140625" style="28"/>
    <col min="8705" max="8705" width="13.85546875" style="28" customWidth="1"/>
    <col min="8706" max="8706" width="2.140625" style="28" customWidth="1"/>
    <col min="8707" max="8707" width="23.5703125" style="28" customWidth="1"/>
    <col min="8708" max="8708" width="26.85546875" style="28" customWidth="1"/>
    <col min="8709" max="8709" width="16.140625" style="28" customWidth="1"/>
    <col min="8710" max="8710" width="15.42578125" style="28" customWidth="1"/>
    <col min="8711" max="8711" width="2.140625" style="28" customWidth="1"/>
    <col min="8712" max="8712" width="14" style="28" customWidth="1"/>
    <col min="8713" max="8713" width="2.140625" style="28" customWidth="1"/>
    <col min="8714" max="8714" width="15.42578125" style="28" customWidth="1"/>
    <col min="8715" max="8960" width="9.140625" style="28"/>
    <col min="8961" max="8961" width="13.85546875" style="28" customWidth="1"/>
    <col min="8962" max="8962" width="2.140625" style="28" customWidth="1"/>
    <col min="8963" max="8963" width="23.5703125" style="28" customWidth="1"/>
    <col min="8964" max="8964" width="26.85546875" style="28" customWidth="1"/>
    <col min="8965" max="8965" width="16.140625" style="28" customWidth="1"/>
    <col min="8966" max="8966" width="15.42578125" style="28" customWidth="1"/>
    <col min="8967" max="8967" width="2.140625" style="28" customWidth="1"/>
    <col min="8968" max="8968" width="14" style="28" customWidth="1"/>
    <col min="8969" max="8969" width="2.140625" style="28" customWidth="1"/>
    <col min="8970" max="8970" width="15.42578125" style="28" customWidth="1"/>
    <col min="8971" max="9216" width="9.140625" style="28"/>
    <col min="9217" max="9217" width="13.85546875" style="28" customWidth="1"/>
    <col min="9218" max="9218" width="2.140625" style="28" customWidth="1"/>
    <col min="9219" max="9219" width="23.5703125" style="28" customWidth="1"/>
    <col min="9220" max="9220" width="26.85546875" style="28" customWidth="1"/>
    <col min="9221" max="9221" width="16.140625" style="28" customWidth="1"/>
    <col min="9222" max="9222" width="15.42578125" style="28" customWidth="1"/>
    <col min="9223" max="9223" width="2.140625" style="28" customWidth="1"/>
    <col min="9224" max="9224" width="14" style="28" customWidth="1"/>
    <col min="9225" max="9225" width="2.140625" style="28" customWidth="1"/>
    <col min="9226" max="9226" width="15.42578125" style="28" customWidth="1"/>
    <col min="9227" max="9472" width="9.140625" style="28"/>
    <col min="9473" max="9473" width="13.85546875" style="28" customWidth="1"/>
    <col min="9474" max="9474" width="2.140625" style="28" customWidth="1"/>
    <col min="9475" max="9475" width="23.5703125" style="28" customWidth="1"/>
    <col min="9476" max="9476" width="26.85546875" style="28" customWidth="1"/>
    <col min="9477" max="9477" width="16.140625" style="28" customWidth="1"/>
    <col min="9478" max="9478" width="15.42578125" style="28" customWidth="1"/>
    <col min="9479" max="9479" width="2.140625" style="28" customWidth="1"/>
    <col min="9480" max="9480" width="14" style="28" customWidth="1"/>
    <col min="9481" max="9481" width="2.140625" style="28" customWidth="1"/>
    <col min="9482" max="9482" width="15.42578125" style="28" customWidth="1"/>
    <col min="9483" max="9728" width="9.140625" style="28"/>
    <col min="9729" max="9729" width="13.85546875" style="28" customWidth="1"/>
    <col min="9730" max="9730" width="2.140625" style="28" customWidth="1"/>
    <col min="9731" max="9731" width="23.5703125" style="28" customWidth="1"/>
    <col min="9732" max="9732" width="26.85546875" style="28" customWidth="1"/>
    <col min="9733" max="9733" width="16.140625" style="28" customWidth="1"/>
    <col min="9734" max="9734" width="15.42578125" style="28" customWidth="1"/>
    <col min="9735" max="9735" width="2.140625" style="28" customWidth="1"/>
    <col min="9736" max="9736" width="14" style="28" customWidth="1"/>
    <col min="9737" max="9737" width="2.140625" style="28" customWidth="1"/>
    <col min="9738" max="9738" width="15.42578125" style="28" customWidth="1"/>
    <col min="9739" max="9984" width="9.140625" style="28"/>
    <col min="9985" max="9985" width="13.85546875" style="28" customWidth="1"/>
    <col min="9986" max="9986" width="2.140625" style="28" customWidth="1"/>
    <col min="9987" max="9987" width="23.5703125" style="28" customWidth="1"/>
    <col min="9988" max="9988" width="26.85546875" style="28" customWidth="1"/>
    <col min="9989" max="9989" width="16.140625" style="28" customWidth="1"/>
    <col min="9990" max="9990" width="15.42578125" style="28" customWidth="1"/>
    <col min="9991" max="9991" width="2.140625" style="28" customWidth="1"/>
    <col min="9992" max="9992" width="14" style="28" customWidth="1"/>
    <col min="9993" max="9993" width="2.140625" style="28" customWidth="1"/>
    <col min="9994" max="9994" width="15.42578125" style="28" customWidth="1"/>
    <col min="9995" max="10240" width="9.140625" style="28"/>
    <col min="10241" max="10241" width="13.85546875" style="28" customWidth="1"/>
    <col min="10242" max="10242" width="2.140625" style="28" customWidth="1"/>
    <col min="10243" max="10243" width="23.5703125" style="28" customWidth="1"/>
    <col min="10244" max="10244" width="26.85546875" style="28" customWidth="1"/>
    <col min="10245" max="10245" width="16.140625" style="28" customWidth="1"/>
    <col min="10246" max="10246" width="15.42578125" style="28" customWidth="1"/>
    <col min="10247" max="10247" width="2.140625" style="28" customWidth="1"/>
    <col min="10248" max="10248" width="14" style="28" customWidth="1"/>
    <col min="10249" max="10249" width="2.140625" style="28" customWidth="1"/>
    <col min="10250" max="10250" width="15.42578125" style="28" customWidth="1"/>
    <col min="10251" max="10496" width="9.140625" style="28"/>
    <col min="10497" max="10497" width="13.85546875" style="28" customWidth="1"/>
    <col min="10498" max="10498" width="2.140625" style="28" customWidth="1"/>
    <col min="10499" max="10499" width="23.5703125" style="28" customWidth="1"/>
    <col min="10500" max="10500" width="26.85546875" style="28" customWidth="1"/>
    <col min="10501" max="10501" width="16.140625" style="28" customWidth="1"/>
    <col min="10502" max="10502" width="15.42578125" style="28" customWidth="1"/>
    <col min="10503" max="10503" width="2.140625" style="28" customWidth="1"/>
    <col min="10504" max="10504" width="14" style="28" customWidth="1"/>
    <col min="10505" max="10505" width="2.140625" style="28" customWidth="1"/>
    <col min="10506" max="10506" width="15.42578125" style="28" customWidth="1"/>
    <col min="10507" max="10752" width="9.140625" style="28"/>
    <col min="10753" max="10753" width="13.85546875" style="28" customWidth="1"/>
    <col min="10754" max="10754" width="2.140625" style="28" customWidth="1"/>
    <col min="10755" max="10755" width="23.5703125" style="28" customWidth="1"/>
    <col min="10756" max="10756" width="26.85546875" style="28" customWidth="1"/>
    <col min="10757" max="10757" width="16.140625" style="28" customWidth="1"/>
    <col min="10758" max="10758" width="15.42578125" style="28" customWidth="1"/>
    <col min="10759" max="10759" width="2.140625" style="28" customWidth="1"/>
    <col min="10760" max="10760" width="14" style="28" customWidth="1"/>
    <col min="10761" max="10761" width="2.140625" style="28" customWidth="1"/>
    <col min="10762" max="10762" width="15.42578125" style="28" customWidth="1"/>
    <col min="10763" max="11008" width="9.140625" style="28"/>
    <col min="11009" max="11009" width="13.85546875" style="28" customWidth="1"/>
    <col min="11010" max="11010" width="2.140625" style="28" customWidth="1"/>
    <col min="11011" max="11011" width="23.5703125" style="28" customWidth="1"/>
    <col min="11012" max="11012" width="26.85546875" style="28" customWidth="1"/>
    <col min="11013" max="11013" width="16.140625" style="28" customWidth="1"/>
    <col min="11014" max="11014" width="15.42578125" style="28" customWidth="1"/>
    <col min="11015" max="11015" width="2.140625" style="28" customWidth="1"/>
    <col min="11016" max="11016" width="14" style="28" customWidth="1"/>
    <col min="11017" max="11017" width="2.140625" style="28" customWidth="1"/>
    <col min="11018" max="11018" width="15.42578125" style="28" customWidth="1"/>
    <col min="11019" max="11264" width="9.140625" style="28"/>
    <col min="11265" max="11265" width="13.85546875" style="28" customWidth="1"/>
    <col min="11266" max="11266" width="2.140625" style="28" customWidth="1"/>
    <col min="11267" max="11267" width="23.5703125" style="28" customWidth="1"/>
    <col min="11268" max="11268" width="26.85546875" style="28" customWidth="1"/>
    <col min="11269" max="11269" width="16.140625" style="28" customWidth="1"/>
    <col min="11270" max="11270" width="15.42578125" style="28" customWidth="1"/>
    <col min="11271" max="11271" width="2.140625" style="28" customWidth="1"/>
    <col min="11272" max="11272" width="14" style="28" customWidth="1"/>
    <col min="11273" max="11273" width="2.140625" style="28" customWidth="1"/>
    <col min="11274" max="11274" width="15.42578125" style="28" customWidth="1"/>
    <col min="11275" max="11520" width="9.140625" style="28"/>
    <col min="11521" max="11521" width="13.85546875" style="28" customWidth="1"/>
    <col min="11522" max="11522" width="2.140625" style="28" customWidth="1"/>
    <col min="11523" max="11523" width="23.5703125" style="28" customWidth="1"/>
    <col min="11524" max="11524" width="26.85546875" style="28" customWidth="1"/>
    <col min="11525" max="11525" width="16.140625" style="28" customWidth="1"/>
    <col min="11526" max="11526" width="15.42578125" style="28" customWidth="1"/>
    <col min="11527" max="11527" width="2.140625" style="28" customWidth="1"/>
    <col min="11528" max="11528" width="14" style="28" customWidth="1"/>
    <col min="11529" max="11529" width="2.140625" style="28" customWidth="1"/>
    <col min="11530" max="11530" width="15.42578125" style="28" customWidth="1"/>
    <col min="11531" max="11776" width="9.140625" style="28"/>
    <col min="11777" max="11777" width="13.85546875" style="28" customWidth="1"/>
    <col min="11778" max="11778" width="2.140625" style="28" customWidth="1"/>
    <col min="11779" max="11779" width="23.5703125" style="28" customWidth="1"/>
    <col min="11780" max="11780" width="26.85546875" style="28" customWidth="1"/>
    <col min="11781" max="11781" width="16.140625" style="28" customWidth="1"/>
    <col min="11782" max="11782" width="15.42578125" style="28" customWidth="1"/>
    <col min="11783" max="11783" width="2.140625" style="28" customWidth="1"/>
    <col min="11784" max="11784" width="14" style="28" customWidth="1"/>
    <col min="11785" max="11785" width="2.140625" style="28" customWidth="1"/>
    <col min="11786" max="11786" width="15.42578125" style="28" customWidth="1"/>
    <col min="11787" max="12032" width="9.140625" style="28"/>
    <col min="12033" max="12033" width="13.85546875" style="28" customWidth="1"/>
    <col min="12034" max="12034" width="2.140625" style="28" customWidth="1"/>
    <col min="12035" max="12035" width="23.5703125" style="28" customWidth="1"/>
    <col min="12036" max="12036" width="26.85546875" style="28" customWidth="1"/>
    <col min="12037" max="12037" width="16.140625" style="28" customWidth="1"/>
    <col min="12038" max="12038" width="15.42578125" style="28" customWidth="1"/>
    <col min="12039" max="12039" width="2.140625" style="28" customWidth="1"/>
    <col min="12040" max="12040" width="14" style="28" customWidth="1"/>
    <col min="12041" max="12041" width="2.140625" style="28" customWidth="1"/>
    <col min="12042" max="12042" width="15.42578125" style="28" customWidth="1"/>
    <col min="12043" max="12288" width="9.140625" style="28"/>
    <col min="12289" max="12289" width="13.85546875" style="28" customWidth="1"/>
    <col min="12290" max="12290" width="2.140625" style="28" customWidth="1"/>
    <col min="12291" max="12291" width="23.5703125" style="28" customWidth="1"/>
    <col min="12292" max="12292" width="26.85546875" style="28" customWidth="1"/>
    <col min="12293" max="12293" width="16.140625" style="28" customWidth="1"/>
    <col min="12294" max="12294" width="15.42578125" style="28" customWidth="1"/>
    <col min="12295" max="12295" width="2.140625" style="28" customWidth="1"/>
    <col min="12296" max="12296" width="14" style="28" customWidth="1"/>
    <col min="12297" max="12297" width="2.140625" style="28" customWidth="1"/>
    <col min="12298" max="12298" width="15.42578125" style="28" customWidth="1"/>
    <col min="12299" max="12544" width="9.140625" style="28"/>
    <col min="12545" max="12545" width="13.85546875" style="28" customWidth="1"/>
    <col min="12546" max="12546" width="2.140625" style="28" customWidth="1"/>
    <col min="12547" max="12547" width="23.5703125" style="28" customWidth="1"/>
    <col min="12548" max="12548" width="26.85546875" style="28" customWidth="1"/>
    <col min="12549" max="12549" width="16.140625" style="28" customWidth="1"/>
    <col min="12550" max="12550" width="15.42578125" style="28" customWidth="1"/>
    <col min="12551" max="12551" width="2.140625" style="28" customWidth="1"/>
    <col min="12552" max="12552" width="14" style="28" customWidth="1"/>
    <col min="12553" max="12553" width="2.140625" style="28" customWidth="1"/>
    <col min="12554" max="12554" width="15.42578125" style="28" customWidth="1"/>
    <col min="12555" max="12800" width="9.140625" style="28"/>
    <col min="12801" max="12801" width="13.85546875" style="28" customWidth="1"/>
    <col min="12802" max="12802" width="2.140625" style="28" customWidth="1"/>
    <col min="12803" max="12803" width="23.5703125" style="28" customWidth="1"/>
    <col min="12804" max="12804" width="26.85546875" style="28" customWidth="1"/>
    <col min="12805" max="12805" width="16.140625" style="28" customWidth="1"/>
    <col min="12806" max="12806" width="15.42578125" style="28" customWidth="1"/>
    <col min="12807" max="12807" width="2.140625" style="28" customWidth="1"/>
    <col min="12808" max="12808" width="14" style="28" customWidth="1"/>
    <col min="12809" max="12809" width="2.140625" style="28" customWidth="1"/>
    <col min="12810" max="12810" width="15.42578125" style="28" customWidth="1"/>
    <col min="12811" max="13056" width="9.140625" style="28"/>
    <col min="13057" max="13057" width="13.85546875" style="28" customWidth="1"/>
    <col min="13058" max="13058" width="2.140625" style="28" customWidth="1"/>
    <col min="13059" max="13059" width="23.5703125" style="28" customWidth="1"/>
    <col min="13060" max="13060" width="26.85546875" style="28" customWidth="1"/>
    <col min="13061" max="13061" width="16.140625" style="28" customWidth="1"/>
    <col min="13062" max="13062" width="15.42578125" style="28" customWidth="1"/>
    <col min="13063" max="13063" width="2.140625" style="28" customWidth="1"/>
    <col min="13064" max="13064" width="14" style="28" customWidth="1"/>
    <col min="13065" max="13065" width="2.140625" style="28" customWidth="1"/>
    <col min="13066" max="13066" width="15.42578125" style="28" customWidth="1"/>
    <col min="13067" max="13312" width="9.140625" style="28"/>
    <col min="13313" max="13313" width="13.85546875" style="28" customWidth="1"/>
    <col min="13314" max="13314" width="2.140625" style="28" customWidth="1"/>
    <col min="13315" max="13315" width="23.5703125" style="28" customWidth="1"/>
    <col min="13316" max="13316" width="26.85546875" style="28" customWidth="1"/>
    <col min="13317" max="13317" width="16.140625" style="28" customWidth="1"/>
    <col min="13318" max="13318" width="15.42578125" style="28" customWidth="1"/>
    <col min="13319" max="13319" width="2.140625" style="28" customWidth="1"/>
    <col min="13320" max="13320" width="14" style="28" customWidth="1"/>
    <col min="13321" max="13321" width="2.140625" style="28" customWidth="1"/>
    <col min="13322" max="13322" width="15.42578125" style="28" customWidth="1"/>
    <col min="13323" max="13568" width="9.140625" style="28"/>
    <col min="13569" max="13569" width="13.85546875" style="28" customWidth="1"/>
    <col min="13570" max="13570" width="2.140625" style="28" customWidth="1"/>
    <col min="13571" max="13571" width="23.5703125" style="28" customWidth="1"/>
    <col min="13572" max="13572" width="26.85546875" style="28" customWidth="1"/>
    <col min="13573" max="13573" width="16.140625" style="28" customWidth="1"/>
    <col min="13574" max="13574" width="15.42578125" style="28" customWidth="1"/>
    <col min="13575" max="13575" width="2.140625" style="28" customWidth="1"/>
    <col min="13576" max="13576" width="14" style="28" customWidth="1"/>
    <col min="13577" max="13577" width="2.140625" style="28" customWidth="1"/>
    <col min="13578" max="13578" width="15.42578125" style="28" customWidth="1"/>
    <col min="13579" max="13824" width="9.140625" style="28"/>
    <col min="13825" max="13825" width="13.85546875" style="28" customWidth="1"/>
    <col min="13826" max="13826" width="2.140625" style="28" customWidth="1"/>
    <col min="13827" max="13827" width="23.5703125" style="28" customWidth="1"/>
    <col min="13828" max="13828" width="26.85546875" style="28" customWidth="1"/>
    <col min="13829" max="13829" width="16.140625" style="28" customWidth="1"/>
    <col min="13830" max="13830" width="15.42578125" style="28" customWidth="1"/>
    <col min="13831" max="13831" width="2.140625" style="28" customWidth="1"/>
    <col min="13832" max="13832" width="14" style="28" customWidth="1"/>
    <col min="13833" max="13833" width="2.140625" style="28" customWidth="1"/>
    <col min="13834" max="13834" width="15.42578125" style="28" customWidth="1"/>
    <col min="13835" max="14080" width="9.140625" style="28"/>
    <col min="14081" max="14081" width="13.85546875" style="28" customWidth="1"/>
    <col min="14082" max="14082" width="2.140625" style="28" customWidth="1"/>
    <col min="14083" max="14083" width="23.5703125" style="28" customWidth="1"/>
    <col min="14084" max="14084" width="26.85546875" style="28" customWidth="1"/>
    <col min="14085" max="14085" width="16.140625" style="28" customWidth="1"/>
    <col min="14086" max="14086" width="15.42578125" style="28" customWidth="1"/>
    <col min="14087" max="14087" width="2.140625" style="28" customWidth="1"/>
    <col min="14088" max="14088" width="14" style="28" customWidth="1"/>
    <col min="14089" max="14089" width="2.140625" style="28" customWidth="1"/>
    <col min="14090" max="14090" width="15.42578125" style="28" customWidth="1"/>
    <col min="14091" max="14336" width="9.140625" style="28"/>
    <col min="14337" max="14337" width="13.85546875" style="28" customWidth="1"/>
    <col min="14338" max="14338" width="2.140625" style="28" customWidth="1"/>
    <col min="14339" max="14339" width="23.5703125" style="28" customWidth="1"/>
    <col min="14340" max="14340" width="26.85546875" style="28" customWidth="1"/>
    <col min="14341" max="14341" width="16.140625" style="28" customWidth="1"/>
    <col min="14342" max="14342" width="15.42578125" style="28" customWidth="1"/>
    <col min="14343" max="14343" width="2.140625" style="28" customWidth="1"/>
    <col min="14344" max="14344" width="14" style="28" customWidth="1"/>
    <col min="14345" max="14345" width="2.140625" style="28" customWidth="1"/>
    <col min="14346" max="14346" width="15.42578125" style="28" customWidth="1"/>
    <col min="14347" max="14592" width="9.140625" style="28"/>
    <col min="14593" max="14593" width="13.85546875" style="28" customWidth="1"/>
    <col min="14594" max="14594" width="2.140625" style="28" customWidth="1"/>
    <col min="14595" max="14595" width="23.5703125" style="28" customWidth="1"/>
    <col min="14596" max="14596" width="26.85546875" style="28" customWidth="1"/>
    <col min="14597" max="14597" width="16.140625" style="28" customWidth="1"/>
    <col min="14598" max="14598" width="15.42578125" style="28" customWidth="1"/>
    <col min="14599" max="14599" width="2.140625" style="28" customWidth="1"/>
    <col min="14600" max="14600" width="14" style="28" customWidth="1"/>
    <col min="14601" max="14601" width="2.140625" style="28" customWidth="1"/>
    <col min="14602" max="14602" width="15.42578125" style="28" customWidth="1"/>
    <col min="14603" max="14848" width="9.140625" style="28"/>
    <col min="14849" max="14849" width="13.85546875" style="28" customWidth="1"/>
    <col min="14850" max="14850" width="2.140625" style="28" customWidth="1"/>
    <col min="14851" max="14851" width="23.5703125" style="28" customWidth="1"/>
    <col min="14852" max="14852" width="26.85546875" style="28" customWidth="1"/>
    <col min="14853" max="14853" width="16.140625" style="28" customWidth="1"/>
    <col min="14854" max="14854" width="15.42578125" style="28" customWidth="1"/>
    <col min="14855" max="14855" width="2.140625" style="28" customWidth="1"/>
    <col min="14856" max="14856" width="14" style="28" customWidth="1"/>
    <col min="14857" max="14857" width="2.140625" style="28" customWidth="1"/>
    <col min="14858" max="14858" width="15.42578125" style="28" customWidth="1"/>
    <col min="14859" max="15104" width="9.140625" style="28"/>
    <col min="15105" max="15105" width="13.85546875" style="28" customWidth="1"/>
    <col min="15106" max="15106" width="2.140625" style="28" customWidth="1"/>
    <col min="15107" max="15107" width="23.5703125" style="28" customWidth="1"/>
    <col min="15108" max="15108" width="26.85546875" style="28" customWidth="1"/>
    <col min="15109" max="15109" width="16.140625" style="28" customWidth="1"/>
    <col min="15110" max="15110" width="15.42578125" style="28" customWidth="1"/>
    <col min="15111" max="15111" width="2.140625" style="28" customWidth="1"/>
    <col min="15112" max="15112" width="14" style="28" customWidth="1"/>
    <col min="15113" max="15113" width="2.140625" style="28" customWidth="1"/>
    <col min="15114" max="15114" width="15.42578125" style="28" customWidth="1"/>
    <col min="15115" max="15360" width="9.140625" style="28"/>
    <col min="15361" max="15361" width="13.85546875" style="28" customWidth="1"/>
    <col min="15362" max="15362" width="2.140625" style="28" customWidth="1"/>
    <col min="15363" max="15363" width="23.5703125" style="28" customWidth="1"/>
    <col min="15364" max="15364" width="26.85546875" style="28" customWidth="1"/>
    <col min="15365" max="15365" width="16.140625" style="28" customWidth="1"/>
    <col min="15366" max="15366" width="15.42578125" style="28" customWidth="1"/>
    <col min="15367" max="15367" width="2.140625" style="28" customWidth="1"/>
    <col min="15368" max="15368" width="14" style="28" customWidth="1"/>
    <col min="15369" max="15369" width="2.140625" style="28" customWidth="1"/>
    <col min="15370" max="15370" width="15.42578125" style="28" customWidth="1"/>
    <col min="15371" max="15616" width="9.140625" style="28"/>
    <col min="15617" max="15617" width="13.85546875" style="28" customWidth="1"/>
    <col min="15618" max="15618" width="2.140625" style="28" customWidth="1"/>
    <col min="15619" max="15619" width="23.5703125" style="28" customWidth="1"/>
    <col min="15620" max="15620" width="26.85546875" style="28" customWidth="1"/>
    <col min="15621" max="15621" width="16.140625" style="28" customWidth="1"/>
    <col min="15622" max="15622" width="15.42578125" style="28" customWidth="1"/>
    <col min="15623" max="15623" width="2.140625" style="28" customWidth="1"/>
    <col min="15624" max="15624" width="14" style="28" customWidth="1"/>
    <col min="15625" max="15625" width="2.140625" style="28" customWidth="1"/>
    <col min="15626" max="15626" width="15.42578125" style="28" customWidth="1"/>
    <col min="15627" max="15872" width="9.140625" style="28"/>
    <col min="15873" max="15873" width="13.85546875" style="28" customWidth="1"/>
    <col min="15874" max="15874" width="2.140625" style="28" customWidth="1"/>
    <col min="15875" max="15875" width="23.5703125" style="28" customWidth="1"/>
    <col min="15876" max="15876" width="26.85546875" style="28" customWidth="1"/>
    <col min="15877" max="15877" width="16.140625" style="28" customWidth="1"/>
    <col min="15878" max="15878" width="15.42578125" style="28" customWidth="1"/>
    <col min="15879" max="15879" width="2.140625" style="28" customWidth="1"/>
    <col min="15880" max="15880" width="14" style="28" customWidth="1"/>
    <col min="15881" max="15881" width="2.140625" style="28" customWidth="1"/>
    <col min="15882" max="15882" width="15.42578125" style="28" customWidth="1"/>
    <col min="15883" max="16128" width="9.140625" style="28"/>
    <col min="16129" max="16129" width="13.85546875" style="28" customWidth="1"/>
    <col min="16130" max="16130" width="2.140625" style="28" customWidth="1"/>
    <col min="16131" max="16131" width="23.5703125" style="28" customWidth="1"/>
    <col min="16132" max="16132" width="26.85546875" style="28" customWidth="1"/>
    <col min="16133" max="16133" width="16.140625" style="28" customWidth="1"/>
    <col min="16134" max="16134" width="15.42578125" style="28" customWidth="1"/>
    <col min="16135" max="16135" width="2.140625" style="28" customWidth="1"/>
    <col min="16136" max="16136" width="14" style="28" customWidth="1"/>
    <col min="16137" max="16137" width="2.140625" style="28" customWidth="1"/>
    <col min="16138" max="16138" width="15.42578125" style="28" customWidth="1"/>
    <col min="16139" max="16384" width="9.140625" style="28"/>
  </cols>
  <sheetData>
    <row r="1" spans="1:10" ht="20.100000000000001" customHeight="1" x14ac:dyDescent="0.2">
      <c r="A1" s="93" t="s">
        <v>1424</v>
      </c>
      <c r="J1" s="94" t="s">
        <v>1736</v>
      </c>
    </row>
    <row r="2" spans="1:10" ht="15.95" customHeight="1" x14ac:dyDescent="0.2">
      <c r="A2" s="27" t="s">
        <v>1737</v>
      </c>
      <c r="C2" s="27" t="s">
        <v>0</v>
      </c>
      <c r="J2" s="23" t="s">
        <v>1738</v>
      </c>
    </row>
    <row r="3" spans="1:10" ht="14.1" customHeight="1" x14ac:dyDescent="0.2">
      <c r="A3" s="95" t="s">
        <v>1739</v>
      </c>
      <c r="J3" s="23" t="s">
        <v>1740</v>
      </c>
    </row>
    <row r="4" spans="1:10" ht="15" customHeight="1" x14ac:dyDescent="0.2">
      <c r="A4" s="95" t="s">
        <v>1741</v>
      </c>
    </row>
    <row r="5" spans="1:10" ht="23.1" customHeight="1" x14ac:dyDescent="0.2">
      <c r="A5" s="20" t="s">
        <v>55</v>
      </c>
      <c r="B5" s="20" t="s">
        <v>56</v>
      </c>
      <c r="E5" s="21" t="s">
        <v>57</v>
      </c>
      <c r="F5" s="21" t="s">
        <v>58</v>
      </c>
      <c r="H5" s="21" t="s">
        <v>59</v>
      </c>
      <c r="J5" s="21" t="s">
        <v>60</v>
      </c>
    </row>
    <row r="6" spans="1:10" ht="15.95" customHeight="1" x14ac:dyDescent="0.2">
      <c r="A6" s="27">
        <v>1</v>
      </c>
      <c r="B6" s="480" t="s">
        <v>62</v>
      </c>
      <c r="C6" s="476"/>
      <c r="D6" s="476"/>
      <c r="E6" s="23">
        <v>337159374.25999999</v>
      </c>
      <c r="F6" s="23">
        <v>113786961.08</v>
      </c>
      <c r="H6" s="23">
        <v>130134559.87</v>
      </c>
      <c r="J6" s="23">
        <v>320811775.47000003</v>
      </c>
    </row>
    <row r="7" spans="1:10" ht="15.95" customHeight="1" x14ac:dyDescent="0.2">
      <c r="A7" s="27">
        <v>11</v>
      </c>
      <c r="B7" s="480" t="s">
        <v>63</v>
      </c>
      <c r="C7" s="476"/>
      <c r="D7" s="476"/>
      <c r="E7" s="23">
        <v>10734651.66</v>
      </c>
      <c r="F7" s="23">
        <v>77509606.540000007</v>
      </c>
      <c r="H7" s="23">
        <v>79731898.75</v>
      </c>
      <c r="J7" s="23">
        <v>8512359.4499999993</v>
      </c>
    </row>
    <row r="8" spans="1:10" ht="15.95" customHeight="1" x14ac:dyDescent="0.2">
      <c r="A8" s="27">
        <v>111</v>
      </c>
      <c r="B8" s="480" t="s">
        <v>64</v>
      </c>
      <c r="C8" s="476"/>
      <c r="D8" s="476"/>
      <c r="E8" s="23">
        <v>3648964.03</v>
      </c>
      <c r="F8" s="23">
        <v>43479565.32</v>
      </c>
      <c r="H8" s="23">
        <v>45154180.170000002</v>
      </c>
      <c r="J8" s="23">
        <v>1974349.18</v>
      </c>
    </row>
    <row r="9" spans="1:10" ht="15.95" customHeight="1" x14ac:dyDescent="0.2">
      <c r="A9" s="27">
        <v>11101</v>
      </c>
      <c r="B9" s="480" t="s">
        <v>65</v>
      </c>
      <c r="C9" s="476"/>
      <c r="D9" s="476"/>
      <c r="E9" s="23">
        <v>157.93</v>
      </c>
      <c r="F9" s="23">
        <v>168251.51999999999</v>
      </c>
      <c r="H9" s="23">
        <v>164861.54</v>
      </c>
      <c r="J9" s="23">
        <v>3547.91</v>
      </c>
    </row>
    <row r="10" spans="1:10" ht="15.95" customHeight="1" x14ac:dyDescent="0.2">
      <c r="A10" s="27">
        <v>1110101</v>
      </c>
      <c r="B10" s="480" t="s">
        <v>66</v>
      </c>
      <c r="C10" s="476"/>
      <c r="D10" s="476"/>
      <c r="E10" s="23">
        <v>157.93</v>
      </c>
      <c r="F10" s="23">
        <v>168251.51999999999</v>
      </c>
      <c r="H10" s="23">
        <v>164861.54</v>
      </c>
      <c r="J10" s="23">
        <v>3547.91</v>
      </c>
    </row>
    <row r="11" spans="1:10" ht="15.95" customHeight="1" x14ac:dyDescent="0.2">
      <c r="A11" s="27" t="s">
        <v>67</v>
      </c>
      <c r="B11" s="480" t="s">
        <v>68</v>
      </c>
      <c r="C11" s="476"/>
      <c r="D11" s="476"/>
      <c r="E11" s="23">
        <v>157.93</v>
      </c>
      <c r="F11" s="23">
        <v>168251.51999999999</v>
      </c>
      <c r="H11" s="23">
        <v>164861.54</v>
      </c>
      <c r="J11" s="23">
        <v>3547.91</v>
      </c>
    </row>
    <row r="12" spans="1:10" ht="15.95" customHeight="1" x14ac:dyDescent="0.2">
      <c r="A12" s="27">
        <v>11102</v>
      </c>
      <c r="B12" s="480" t="s">
        <v>69</v>
      </c>
      <c r="C12" s="476"/>
      <c r="D12" s="476"/>
      <c r="E12" s="23">
        <v>0</v>
      </c>
      <c r="F12" s="23">
        <v>24123.82</v>
      </c>
      <c r="H12" s="23">
        <v>24123.82</v>
      </c>
      <c r="J12" s="23">
        <v>0</v>
      </c>
    </row>
    <row r="13" spans="1:10" ht="15.95" customHeight="1" x14ac:dyDescent="0.2">
      <c r="A13" s="27">
        <v>1110204</v>
      </c>
      <c r="B13" s="480" t="s">
        <v>70</v>
      </c>
      <c r="C13" s="476"/>
      <c r="D13" s="476"/>
      <c r="E13" s="23">
        <v>0</v>
      </c>
      <c r="F13" s="23">
        <v>24123.82</v>
      </c>
      <c r="H13" s="23">
        <v>24123.82</v>
      </c>
      <c r="J13" s="23">
        <v>0</v>
      </c>
    </row>
    <row r="14" spans="1:10" ht="15.95" customHeight="1" x14ac:dyDescent="0.2">
      <c r="A14" s="27" t="s">
        <v>1442</v>
      </c>
      <c r="B14" s="480" t="s">
        <v>1443</v>
      </c>
      <c r="C14" s="476"/>
      <c r="D14" s="476"/>
      <c r="E14" s="23">
        <v>0</v>
      </c>
      <c r="F14" s="23">
        <v>8000</v>
      </c>
      <c r="H14" s="23">
        <v>8000</v>
      </c>
      <c r="J14" s="23">
        <v>0</v>
      </c>
    </row>
    <row r="15" spans="1:10" ht="15.95" customHeight="1" x14ac:dyDescent="0.2">
      <c r="A15" s="27" t="s">
        <v>1444</v>
      </c>
      <c r="B15" s="480" t="s">
        <v>1445</v>
      </c>
      <c r="C15" s="476"/>
      <c r="D15" s="476"/>
      <c r="E15" s="23">
        <v>0</v>
      </c>
      <c r="F15" s="23">
        <v>12123.82</v>
      </c>
      <c r="H15" s="23">
        <v>12123.82</v>
      </c>
      <c r="J15" s="23">
        <v>0</v>
      </c>
    </row>
    <row r="16" spans="1:10" ht="15.95" customHeight="1" x14ac:dyDescent="0.2">
      <c r="A16" s="27" t="s">
        <v>71</v>
      </c>
      <c r="B16" s="480" t="s">
        <v>72</v>
      </c>
      <c r="C16" s="476"/>
      <c r="D16" s="476"/>
      <c r="E16" s="23">
        <v>0</v>
      </c>
      <c r="F16" s="23">
        <v>4000</v>
      </c>
      <c r="H16" s="23">
        <v>4000</v>
      </c>
      <c r="J16" s="23">
        <v>0</v>
      </c>
    </row>
    <row r="17" spans="1:10" ht="15.95" customHeight="1" x14ac:dyDescent="0.2">
      <c r="A17" s="27">
        <v>11103</v>
      </c>
      <c r="B17" s="480" t="s">
        <v>77</v>
      </c>
      <c r="C17" s="476"/>
      <c r="D17" s="476"/>
      <c r="E17" s="23">
        <v>423223.15</v>
      </c>
      <c r="F17" s="23">
        <v>36151094.359999999</v>
      </c>
      <c r="H17" s="23">
        <v>35631800.200000003</v>
      </c>
      <c r="J17" s="23">
        <v>942517.31</v>
      </c>
    </row>
    <row r="18" spans="1:10" ht="15.95" customHeight="1" x14ac:dyDescent="0.2">
      <c r="A18" s="27">
        <v>1110301</v>
      </c>
      <c r="B18" s="480" t="s">
        <v>78</v>
      </c>
      <c r="C18" s="476"/>
      <c r="D18" s="476"/>
      <c r="E18" s="23">
        <v>423223.15</v>
      </c>
      <c r="F18" s="23">
        <v>36151094.359999999</v>
      </c>
      <c r="H18" s="23">
        <v>35631800.200000003</v>
      </c>
      <c r="J18" s="23">
        <v>942517.31</v>
      </c>
    </row>
    <row r="19" spans="1:10" ht="15.95" customHeight="1" x14ac:dyDescent="0.2">
      <c r="A19" s="27" t="s">
        <v>79</v>
      </c>
      <c r="B19" s="480" t="s">
        <v>80</v>
      </c>
      <c r="C19" s="476"/>
      <c r="D19" s="476"/>
      <c r="E19" s="23">
        <v>423223.15</v>
      </c>
      <c r="F19" s="23">
        <v>36151094.359999999</v>
      </c>
      <c r="H19" s="23">
        <v>35631800.200000003</v>
      </c>
      <c r="J19" s="23">
        <v>942517.31</v>
      </c>
    </row>
    <row r="20" spans="1:10" ht="15.95" customHeight="1" x14ac:dyDescent="0.2">
      <c r="A20" s="27">
        <v>11104</v>
      </c>
      <c r="B20" s="480" t="s">
        <v>81</v>
      </c>
      <c r="C20" s="476"/>
      <c r="D20" s="476"/>
      <c r="E20" s="23">
        <v>977513.55</v>
      </c>
      <c r="F20" s="23">
        <v>3150739.75</v>
      </c>
      <c r="H20" s="23">
        <v>4127262.62</v>
      </c>
      <c r="J20" s="23">
        <v>990.68</v>
      </c>
    </row>
    <row r="21" spans="1:10" ht="15.95" customHeight="1" x14ac:dyDescent="0.2">
      <c r="A21" s="27">
        <v>1110401</v>
      </c>
      <c r="B21" s="480" t="s">
        <v>82</v>
      </c>
      <c r="C21" s="476"/>
      <c r="D21" s="476"/>
      <c r="E21" s="23">
        <v>977513.55</v>
      </c>
      <c r="F21" s="23">
        <v>3150739.75</v>
      </c>
      <c r="H21" s="23">
        <v>4127262.62</v>
      </c>
      <c r="J21" s="23">
        <v>990.68</v>
      </c>
    </row>
    <row r="22" spans="1:10" ht="15.95" customHeight="1" x14ac:dyDescent="0.2">
      <c r="A22" s="27" t="s">
        <v>83</v>
      </c>
      <c r="B22" s="480" t="s">
        <v>84</v>
      </c>
      <c r="C22" s="476"/>
      <c r="D22" s="476"/>
      <c r="E22" s="23">
        <v>977513.55</v>
      </c>
      <c r="F22" s="23">
        <v>3150739.75</v>
      </c>
      <c r="H22" s="23">
        <v>4127262.62</v>
      </c>
      <c r="J22" s="23">
        <v>990.68</v>
      </c>
    </row>
    <row r="23" spans="1:10" ht="15.95" customHeight="1" x14ac:dyDescent="0.2">
      <c r="A23" s="27">
        <v>11105</v>
      </c>
      <c r="B23" s="480" t="s">
        <v>85</v>
      </c>
      <c r="C23" s="476"/>
      <c r="D23" s="476"/>
      <c r="E23" s="23">
        <v>730.24</v>
      </c>
      <c r="F23" s="23">
        <v>22.12</v>
      </c>
      <c r="H23" s="23">
        <v>1.93</v>
      </c>
      <c r="J23" s="23">
        <v>750.43</v>
      </c>
    </row>
    <row r="24" spans="1:10" ht="15.95" customHeight="1" x14ac:dyDescent="0.2">
      <c r="A24" s="27">
        <v>1110501</v>
      </c>
      <c r="B24" s="480" t="s">
        <v>78</v>
      </c>
      <c r="C24" s="476"/>
      <c r="D24" s="476"/>
      <c r="E24" s="23">
        <v>730.24</v>
      </c>
      <c r="F24" s="23">
        <v>22.12</v>
      </c>
      <c r="H24" s="23">
        <v>1.93</v>
      </c>
      <c r="J24" s="23">
        <v>750.43</v>
      </c>
    </row>
    <row r="25" spans="1:10" ht="15.95" customHeight="1" x14ac:dyDescent="0.2">
      <c r="A25" s="27" t="s">
        <v>86</v>
      </c>
      <c r="B25" s="480" t="s">
        <v>87</v>
      </c>
      <c r="C25" s="476"/>
      <c r="D25" s="476"/>
      <c r="E25" s="23">
        <v>286.68</v>
      </c>
      <c r="F25" s="23">
        <v>8.65</v>
      </c>
      <c r="H25" s="23">
        <v>1.93</v>
      </c>
      <c r="J25" s="23">
        <v>293.39999999999998</v>
      </c>
    </row>
    <row r="26" spans="1:10" ht="15.95" customHeight="1" x14ac:dyDescent="0.2">
      <c r="A26" s="27" t="s">
        <v>88</v>
      </c>
      <c r="B26" s="480" t="s">
        <v>89</v>
      </c>
      <c r="C26" s="476"/>
      <c r="D26" s="476"/>
      <c r="E26" s="23">
        <v>443.56</v>
      </c>
      <c r="F26" s="23">
        <v>13.47</v>
      </c>
      <c r="H26" s="23">
        <v>0</v>
      </c>
      <c r="J26" s="23">
        <v>457.03</v>
      </c>
    </row>
    <row r="27" spans="1:10" ht="15.95" customHeight="1" x14ac:dyDescent="0.2">
      <c r="A27" s="27">
        <v>11106</v>
      </c>
      <c r="B27" s="480" t="s">
        <v>90</v>
      </c>
      <c r="C27" s="476"/>
      <c r="D27" s="476"/>
      <c r="E27" s="23">
        <v>2247339.16</v>
      </c>
      <c r="F27" s="23">
        <v>3985333.75</v>
      </c>
      <c r="H27" s="23">
        <v>5206130.0599999996</v>
      </c>
      <c r="J27" s="23">
        <v>1026542.85</v>
      </c>
    </row>
    <row r="28" spans="1:10" ht="15.95" customHeight="1" x14ac:dyDescent="0.2">
      <c r="A28" s="27">
        <v>1110601</v>
      </c>
      <c r="B28" s="480" t="s">
        <v>78</v>
      </c>
      <c r="C28" s="476"/>
      <c r="D28" s="476"/>
      <c r="E28" s="23">
        <v>2247339.16</v>
      </c>
      <c r="F28" s="23">
        <v>3985333.75</v>
      </c>
      <c r="H28" s="23">
        <v>5206130.0599999996</v>
      </c>
      <c r="J28" s="23">
        <v>1026542.85</v>
      </c>
    </row>
    <row r="29" spans="1:10" ht="15.95" customHeight="1" x14ac:dyDescent="0.2">
      <c r="A29" s="27" t="s">
        <v>91</v>
      </c>
      <c r="B29" s="480" t="s">
        <v>92</v>
      </c>
      <c r="C29" s="476"/>
      <c r="D29" s="476"/>
      <c r="E29" s="23">
        <v>0</v>
      </c>
      <c r="F29" s="23">
        <v>2557399.5</v>
      </c>
      <c r="H29" s="23">
        <v>2543961.98</v>
      </c>
      <c r="J29" s="23">
        <v>13437.52</v>
      </c>
    </row>
    <row r="30" spans="1:10" ht="15.95" customHeight="1" x14ac:dyDescent="0.2">
      <c r="A30" s="27" t="s">
        <v>93</v>
      </c>
      <c r="B30" s="480" t="s">
        <v>94</v>
      </c>
      <c r="C30" s="476"/>
      <c r="D30" s="476"/>
      <c r="E30" s="23">
        <v>2247339.16</v>
      </c>
      <c r="F30" s="23">
        <v>1427934.25</v>
      </c>
      <c r="H30" s="23">
        <v>2662168.08</v>
      </c>
      <c r="J30" s="23">
        <v>1013105.33</v>
      </c>
    </row>
    <row r="31" spans="1:10" ht="15.95" customHeight="1" x14ac:dyDescent="0.2">
      <c r="A31" s="27">
        <v>112</v>
      </c>
      <c r="B31" s="480" t="s">
        <v>95</v>
      </c>
      <c r="C31" s="476"/>
      <c r="D31" s="476"/>
      <c r="E31" s="23">
        <v>5502731.1399999997</v>
      </c>
      <c r="F31" s="23">
        <v>33134059.370000001</v>
      </c>
      <c r="H31" s="23">
        <v>34020596.159999996</v>
      </c>
      <c r="J31" s="23">
        <v>4616194.3499999996</v>
      </c>
    </row>
    <row r="32" spans="1:10" ht="15.95" customHeight="1" x14ac:dyDescent="0.2">
      <c r="A32" s="27">
        <v>11201</v>
      </c>
      <c r="B32" s="480" t="s">
        <v>96</v>
      </c>
      <c r="C32" s="476"/>
      <c r="D32" s="476"/>
      <c r="E32" s="23">
        <v>5138611.76</v>
      </c>
      <c r="F32" s="23">
        <v>31028289.43</v>
      </c>
      <c r="H32" s="23">
        <v>32253264.800000001</v>
      </c>
      <c r="J32" s="23">
        <v>3913636.39</v>
      </c>
    </row>
    <row r="33" spans="1:10" ht="15.95" customHeight="1" x14ac:dyDescent="0.2">
      <c r="A33" s="27">
        <v>1120101</v>
      </c>
      <c r="B33" s="480" t="s">
        <v>97</v>
      </c>
      <c r="C33" s="476"/>
      <c r="D33" s="476"/>
      <c r="E33" s="23">
        <v>5078246.1399999997</v>
      </c>
      <c r="F33" s="23">
        <v>31023430.73</v>
      </c>
      <c r="H33" s="23">
        <v>32247434.359999999</v>
      </c>
      <c r="J33" s="23">
        <v>3854242.51</v>
      </c>
    </row>
    <row r="34" spans="1:10" ht="15.95" customHeight="1" x14ac:dyDescent="0.2">
      <c r="A34" s="27" t="s">
        <v>98</v>
      </c>
      <c r="B34" s="480" t="s">
        <v>99</v>
      </c>
      <c r="C34" s="476"/>
      <c r="D34" s="476"/>
      <c r="E34" s="23">
        <v>5078246.1399999997</v>
      </c>
      <c r="F34" s="23">
        <v>31023430.73</v>
      </c>
      <c r="H34" s="23">
        <v>32247434.359999999</v>
      </c>
      <c r="J34" s="23">
        <v>3854242.51</v>
      </c>
    </row>
    <row r="35" spans="1:10" ht="15.95" customHeight="1" x14ac:dyDescent="0.2">
      <c r="A35" s="27">
        <v>1120102</v>
      </c>
      <c r="B35" s="480" t="s">
        <v>100</v>
      </c>
      <c r="C35" s="476"/>
      <c r="D35" s="476"/>
      <c r="E35" s="23">
        <v>60365.62</v>
      </c>
      <c r="F35" s="23">
        <v>4858.7</v>
      </c>
      <c r="H35" s="23">
        <v>5830.44</v>
      </c>
      <c r="J35" s="23">
        <v>59393.88</v>
      </c>
    </row>
    <row r="36" spans="1:10" ht="15.95" customHeight="1" x14ac:dyDescent="0.2">
      <c r="A36" s="27" t="s">
        <v>101</v>
      </c>
      <c r="B36" s="480" t="s">
        <v>102</v>
      </c>
      <c r="C36" s="476"/>
      <c r="D36" s="476"/>
      <c r="E36" s="23">
        <v>44032.56</v>
      </c>
      <c r="F36" s="23">
        <v>0</v>
      </c>
      <c r="H36" s="23">
        <v>0</v>
      </c>
      <c r="J36" s="23">
        <v>44032.56</v>
      </c>
    </row>
    <row r="37" spans="1:10" ht="15.95" customHeight="1" x14ac:dyDescent="0.2">
      <c r="A37" s="27" t="s">
        <v>103</v>
      </c>
      <c r="B37" s="480" t="s">
        <v>104</v>
      </c>
      <c r="C37" s="476"/>
      <c r="D37" s="476"/>
      <c r="E37" s="23">
        <v>4672.18</v>
      </c>
      <c r="F37" s="23">
        <v>0</v>
      </c>
      <c r="H37" s="23">
        <v>0</v>
      </c>
      <c r="J37" s="23">
        <v>4672.18</v>
      </c>
    </row>
    <row r="38" spans="1:10" ht="15.95" customHeight="1" x14ac:dyDescent="0.2">
      <c r="A38" s="27" t="s">
        <v>105</v>
      </c>
      <c r="B38" s="480" t="s">
        <v>106</v>
      </c>
      <c r="C38" s="476"/>
      <c r="D38" s="476"/>
      <c r="E38" s="23">
        <v>11660.88</v>
      </c>
      <c r="F38" s="23">
        <v>4858.7</v>
      </c>
      <c r="H38" s="23">
        <v>5830.44</v>
      </c>
      <c r="J38" s="23">
        <v>10689.14</v>
      </c>
    </row>
    <row r="39" spans="1:10" ht="15.95" customHeight="1" x14ac:dyDescent="0.2">
      <c r="A39" s="27">
        <v>11202</v>
      </c>
      <c r="B39" s="480" t="s">
        <v>115</v>
      </c>
      <c r="C39" s="476"/>
      <c r="D39" s="476"/>
      <c r="E39" s="23">
        <v>-401782.38</v>
      </c>
      <c r="F39" s="23">
        <v>178092.19</v>
      </c>
      <c r="H39" s="23">
        <v>114901.16</v>
      </c>
      <c r="J39" s="23">
        <v>-338591.35</v>
      </c>
    </row>
    <row r="40" spans="1:10" ht="15.95" customHeight="1" x14ac:dyDescent="0.2">
      <c r="A40" s="27">
        <v>1120201</v>
      </c>
      <c r="B40" s="480" t="s">
        <v>116</v>
      </c>
      <c r="C40" s="476"/>
      <c r="D40" s="476"/>
      <c r="E40" s="23">
        <v>-401782.38</v>
      </c>
      <c r="F40" s="23">
        <v>178092.19</v>
      </c>
      <c r="H40" s="23">
        <v>114901.16</v>
      </c>
      <c r="J40" s="23">
        <v>-338591.35</v>
      </c>
    </row>
    <row r="41" spans="1:10" ht="15.95" customHeight="1" x14ac:dyDescent="0.2">
      <c r="A41" s="27" t="s">
        <v>117</v>
      </c>
      <c r="B41" s="480" t="s">
        <v>118</v>
      </c>
      <c r="C41" s="476"/>
      <c r="D41" s="476"/>
      <c r="E41" s="23">
        <v>-401782.38</v>
      </c>
      <c r="F41" s="23">
        <v>178092.19</v>
      </c>
      <c r="H41" s="23">
        <v>114901.16</v>
      </c>
      <c r="J41" s="23">
        <v>-338591.35</v>
      </c>
    </row>
    <row r="42" spans="1:10" ht="15.95" customHeight="1" x14ac:dyDescent="0.2">
      <c r="A42" s="27">
        <v>11204</v>
      </c>
      <c r="B42" s="480" t="s">
        <v>119</v>
      </c>
      <c r="C42" s="476"/>
      <c r="D42" s="476"/>
      <c r="E42" s="23">
        <v>83534.080000000002</v>
      </c>
      <c r="F42" s="23">
        <v>262477.05</v>
      </c>
      <c r="H42" s="23">
        <v>292779.23</v>
      </c>
      <c r="J42" s="23">
        <v>53231.9</v>
      </c>
    </row>
    <row r="43" spans="1:10" ht="15.95" customHeight="1" x14ac:dyDescent="0.2">
      <c r="A43" s="27">
        <v>1120401</v>
      </c>
      <c r="B43" s="480" t="s">
        <v>120</v>
      </c>
      <c r="C43" s="476"/>
      <c r="D43" s="476"/>
      <c r="E43" s="23">
        <v>39344.06</v>
      </c>
      <c r="F43" s="23">
        <v>125287.61</v>
      </c>
      <c r="H43" s="23">
        <v>151823.67000000001</v>
      </c>
      <c r="J43" s="23">
        <v>12808</v>
      </c>
    </row>
    <row r="44" spans="1:10" ht="15.95" customHeight="1" x14ac:dyDescent="0.2">
      <c r="A44" s="27" t="s">
        <v>121</v>
      </c>
      <c r="B44" s="480" t="s">
        <v>122</v>
      </c>
      <c r="C44" s="476"/>
      <c r="D44" s="476"/>
      <c r="E44" s="23">
        <v>39344.06</v>
      </c>
      <c r="F44" s="23">
        <v>125287.61</v>
      </c>
      <c r="H44" s="23">
        <v>151823.67000000001</v>
      </c>
      <c r="J44" s="23">
        <v>12808</v>
      </c>
    </row>
    <row r="45" spans="1:10" ht="15.95" customHeight="1" x14ac:dyDescent="0.2">
      <c r="A45" s="27">
        <v>1120407</v>
      </c>
      <c r="B45" s="480" t="s">
        <v>123</v>
      </c>
      <c r="C45" s="476"/>
      <c r="D45" s="476"/>
      <c r="E45" s="23">
        <v>44190.02</v>
      </c>
      <c r="F45" s="23">
        <v>137189.44</v>
      </c>
      <c r="H45" s="23">
        <v>140955.56</v>
      </c>
      <c r="J45" s="23">
        <v>40423.9</v>
      </c>
    </row>
    <row r="46" spans="1:10" ht="15.95" customHeight="1" x14ac:dyDescent="0.2">
      <c r="A46" s="27" t="s">
        <v>124</v>
      </c>
      <c r="B46" s="480" t="s">
        <v>125</v>
      </c>
      <c r="C46" s="476"/>
      <c r="D46" s="476"/>
      <c r="E46" s="23">
        <v>44190.02</v>
      </c>
      <c r="F46" s="23">
        <v>137189.44</v>
      </c>
      <c r="H46" s="23">
        <v>140955.56</v>
      </c>
      <c r="J46" s="23">
        <v>40423.9</v>
      </c>
    </row>
    <row r="47" spans="1:10" ht="15.95" customHeight="1" x14ac:dyDescent="0.2">
      <c r="A47" s="27">
        <v>11205</v>
      </c>
      <c r="B47" s="480" t="s">
        <v>126</v>
      </c>
      <c r="C47" s="476"/>
      <c r="D47" s="476"/>
      <c r="E47" s="23">
        <v>682367.68</v>
      </c>
      <c r="F47" s="23">
        <v>1665200.7</v>
      </c>
      <c r="H47" s="23">
        <v>1359650.97</v>
      </c>
      <c r="J47" s="23">
        <v>987917.41</v>
      </c>
    </row>
    <row r="48" spans="1:10" ht="15.95" customHeight="1" x14ac:dyDescent="0.2">
      <c r="A48" s="27">
        <v>1120501</v>
      </c>
      <c r="B48" s="480" t="s">
        <v>127</v>
      </c>
      <c r="C48" s="476"/>
      <c r="D48" s="476"/>
      <c r="E48" s="23">
        <v>0</v>
      </c>
      <c r="F48" s="23">
        <v>315740.49</v>
      </c>
      <c r="H48" s="23">
        <v>0</v>
      </c>
      <c r="J48" s="23">
        <v>315740.49</v>
      </c>
    </row>
    <row r="49" spans="1:10" ht="15.95" customHeight="1" x14ac:dyDescent="0.2">
      <c r="A49" s="27" t="s">
        <v>128</v>
      </c>
      <c r="B49" s="480" t="s">
        <v>129</v>
      </c>
      <c r="C49" s="476"/>
      <c r="D49" s="476"/>
      <c r="E49" s="23">
        <v>0</v>
      </c>
      <c r="F49" s="23">
        <v>290719.68</v>
      </c>
      <c r="H49" s="23">
        <v>0</v>
      </c>
      <c r="J49" s="23">
        <v>290719.68</v>
      </c>
    </row>
    <row r="50" spans="1:10" ht="15.95" customHeight="1" x14ac:dyDescent="0.2">
      <c r="A50" s="27" t="s">
        <v>130</v>
      </c>
      <c r="B50" s="480" t="s">
        <v>131</v>
      </c>
      <c r="C50" s="476"/>
      <c r="D50" s="476"/>
      <c r="E50" s="23">
        <v>0</v>
      </c>
      <c r="F50" s="23">
        <v>25020.81</v>
      </c>
      <c r="H50" s="23">
        <v>0</v>
      </c>
      <c r="J50" s="23">
        <v>25020.81</v>
      </c>
    </row>
    <row r="51" spans="1:10" ht="15.95" customHeight="1" x14ac:dyDescent="0.2">
      <c r="A51" s="27">
        <v>1120502</v>
      </c>
      <c r="B51" s="480" t="s">
        <v>132</v>
      </c>
      <c r="C51" s="476"/>
      <c r="D51" s="476"/>
      <c r="E51" s="23">
        <v>640927.68000000005</v>
      </c>
      <c r="F51" s="23">
        <v>1349460.21</v>
      </c>
      <c r="H51" s="23">
        <v>1359650.97</v>
      </c>
      <c r="J51" s="23">
        <v>630736.92000000004</v>
      </c>
    </row>
    <row r="52" spans="1:10" ht="15.95" customHeight="1" x14ac:dyDescent="0.2">
      <c r="A52" s="27" t="s">
        <v>133</v>
      </c>
      <c r="B52" s="480" t="s">
        <v>134</v>
      </c>
      <c r="C52" s="476"/>
      <c r="D52" s="476"/>
      <c r="E52" s="23">
        <v>1218.1400000000001</v>
      </c>
      <c r="F52" s="23">
        <v>444539.43</v>
      </c>
      <c r="H52" s="23">
        <v>444539.43</v>
      </c>
      <c r="J52" s="23">
        <v>1218.1400000000001</v>
      </c>
    </row>
    <row r="53" spans="1:10" ht="15.95" customHeight="1" x14ac:dyDescent="0.2">
      <c r="A53" s="27" t="s">
        <v>135</v>
      </c>
      <c r="B53" s="480" t="s">
        <v>136</v>
      </c>
      <c r="C53" s="476"/>
      <c r="D53" s="476"/>
      <c r="E53" s="23">
        <v>129838.19</v>
      </c>
      <c r="F53" s="23">
        <v>272421.09000000003</v>
      </c>
      <c r="H53" s="23">
        <v>212568</v>
      </c>
      <c r="J53" s="23">
        <v>189691.28</v>
      </c>
    </row>
    <row r="54" spans="1:10" ht="15.95" customHeight="1" x14ac:dyDescent="0.2">
      <c r="A54" s="27" t="s">
        <v>137</v>
      </c>
      <c r="B54" s="480" t="s">
        <v>138</v>
      </c>
      <c r="C54" s="476"/>
      <c r="D54" s="476"/>
      <c r="E54" s="23">
        <v>509876.27</v>
      </c>
      <c r="F54" s="23">
        <v>175503.29</v>
      </c>
      <c r="H54" s="23">
        <v>657122.28</v>
      </c>
      <c r="J54" s="23">
        <v>28257.279999999999</v>
      </c>
    </row>
    <row r="55" spans="1:10" ht="15.95" customHeight="1" x14ac:dyDescent="0.2">
      <c r="A55" s="27" t="s">
        <v>139</v>
      </c>
      <c r="B55" s="480" t="s">
        <v>140</v>
      </c>
      <c r="C55" s="476"/>
      <c r="D55" s="476"/>
      <c r="E55" s="23">
        <v>-4.92</v>
      </c>
      <c r="F55" s="23">
        <v>420665.38</v>
      </c>
      <c r="H55" s="23">
        <v>26976.28</v>
      </c>
      <c r="J55" s="23">
        <v>393684.18</v>
      </c>
    </row>
    <row r="56" spans="1:10" ht="15.95" customHeight="1" x14ac:dyDescent="0.2">
      <c r="A56" s="27" t="s">
        <v>141</v>
      </c>
      <c r="B56" s="480" t="s">
        <v>142</v>
      </c>
      <c r="C56" s="476"/>
      <c r="D56" s="476"/>
      <c r="E56" s="23">
        <v>0</v>
      </c>
      <c r="F56" s="23">
        <v>36331.019999999997</v>
      </c>
      <c r="H56" s="23">
        <v>18444.98</v>
      </c>
      <c r="J56" s="23">
        <v>17886.04</v>
      </c>
    </row>
    <row r="57" spans="1:10" ht="15.95" customHeight="1" x14ac:dyDescent="0.2">
      <c r="A57" s="27">
        <v>1120503</v>
      </c>
      <c r="B57" s="480" t="s">
        <v>143</v>
      </c>
      <c r="C57" s="476"/>
      <c r="D57" s="476"/>
      <c r="E57" s="23">
        <v>41440</v>
      </c>
      <c r="F57" s="23">
        <v>0</v>
      </c>
      <c r="H57" s="23">
        <v>0</v>
      </c>
      <c r="J57" s="23">
        <v>41440</v>
      </c>
    </row>
    <row r="58" spans="1:10" ht="15.95" customHeight="1" x14ac:dyDescent="0.2">
      <c r="A58" s="27" t="s">
        <v>144</v>
      </c>
      <c r="B58" s="480" t="s">
        <v>145</v>
      </c>
      <c r="C58" s="476"/>
      <c r="D58" s="476"/>
      <c r="E58" s="23">
        <v>41440</v>
      </c>
      <c r="F58" s="23">
        <v>0</v>
      </c>
      <c r="H58" s="23">
        <v>0</v>
      </c>
      <c r="J58" s="23">
        <v>41440</v>
      </c>
    </row>
    <row r="59" spans="1:10" ht="27.95" customHeight="1" x14ac:dyDescent="0.2">
      <c r="A59" s="27">
        <v>113</v>
      </c>
      <c r="B59" s="480" t="s">
        <v>146</v>
      </c>
      <c r="C59" s="476"/>
      <c r="D59" s="476"/>
      <c r="E59" s="23">
        <v>1256730.98</v>
      </c>
      <c r="F59" s="23">
        <v>813527.09</v>
      </c>
      <c r="H59" s="23">
        <v>306898.90000000002</v>
      </c>
      <c r="J59" s="23">
        <v>1763359.17</v>
      </c>
    </row>
    <row r="60" spans="1:10" ht="15.95" customHeight="1" x14ac:dyDescent="0.2">
      <c r="A60" s="484" t="s">
        <v>1446</v>
      </c>
      <c r="B60" s="476"/>
      <c r="C60" s="476"/>
      <c r="D60" s="96" t="s">
        <v>1742</v>
      </c>
      <c r="J60" s="97" t="s">
        <v>1743</v>
      </c>
    </row>
    <row r="61" spans="1:10" ht="20.100000000000001" customHeight="1" x14ac:dyDescent="0.2">
      <c r="A61" s="93" t="s">
        <v>1424</v>
      </c>
      <c r="J61" s="94" t="s">
        <v>1744</v>
      </c>
    </row>
    <row r="62" spans="1:10" ht="15.95" customHeight="1" x14ac:dyDescent="0.2">
      <c r="A62" s="27" t="s">
        <v>1737</v>
      </c>
      <c r="C62" s="27" t="s">
        <v>0</v>
      </c>
      <c r="J62" s="23" t="s">
        <v>1738</v>
      </c>
    </row>
    <row r="63" spans="1:10" ht="14.1" customHeight="1" x14ac:dyDescent="0.2">
      <c r="A63" s="95" t="s">
        <v>1739</v>
      </c>
      <c r="J63" s="23" t="s">
        <v>1740</v>
      </c>
    </row>
    <row r="64" spans="1:10" ht="15" customHeight="1" x14ac:dyDescent="0.2">
      <c r="A64" s="95" t="s">
        <v>1741</v>
      </c>
    </row>
    <row r="65" spans="1:10" ht="23.1" customHeight="1" x14ac:dyDescent="0.2">
      <c r="A65" s="20" t="s">
        <v>55</v>
      </c>
      <c r="B65" s="20" t="s">
        <v>56</v>
      </c>
      <c r="E65" s="21" t="s">
        <v>57</v>
      </c>
      <c r="F65" s="21" t="s">
        <v>58</v>
      </c>
      <c r="H65" s="21" t="s">
        <v>59</v>
      </c>
      <c r="J65" s="21" t="s">
        <v>60</v>
      </c>
    </row>
    <row r="66" spans="1:10" ht="15.95" customHeight="1" x14ac:dyDescent="0.2">
      <c r="A66" s="27">
        <v>11301</v>
      </c>
      <c r="B66" s="480" t="s">
        <v>146</v>
      </c>
      <c r="C66" s="476"/>
      <c r="D66" s="476"/>
      <c r="E66" s="23">
        <v>1256730.98</v>
      </c>
      <c r="F66" s="23">
        <v>813527.09</v>
      </c>
      <c r="H66" s="23">
        <v>306898.90000000002</v>
      </c>
      <c r="J66" s="23">
        <v>1763359.17</v>
      </c>
    </row>
    <row r="67" spans="1:10" ht="15.95" customHeight="1" x14ac:dyDescent="0.2">
      <c r="A67" s="27">
        <v>1130101</v>
      </c>
      <c r="B67" s="480" t="s">
        <v>147</v>
      </c>
      <c r="C67" s="476"/>
      <c r="D67" s="476"/>
      <c r="E67" s="23">
        <v>0</v>
      </c>
      <c r="F67" s="23">
        <v>813527.09</v>
      </c>
      <c r="H67" s="23">
        <v>306898.90000000002</v>
      </c>
      <c r="J67" s="23">
        <v>506628.19</v>
      </c>
    </row>
    <row r="68" spans="1:10" ht="15.95" customHeight="1" x14ac:dyDescent="0.2">
      <c r="A68" s="27" t="s">
        <v>148</v>
      </c>
      <c r="B68" s="480" t="s">
        <v>149</v>
      </c>
      <c r="C68" s="476"/>
      <c r="D68" s="476"/>
      <c r="E68" s="23">
        <v>0</v>
      </c>
      <c r="F68" s="23">
        <v>403593.09</v>
      </c>
      <c r="H68" s="23">
        <v>0</v>
      </c>
      <c r="J68" s="23">
        <v>403593.09</v>
      </c>
    </row>
    <row r="69" spans="1:10" ht="15.95" customHeight="1" x14ac:dyDescent="0.2">
      <c r="A69" s="27" t="s">
        <v>150</v>
      </c>
      <c r="B69" s="480" t="s">
        <v>151</v>
      </c>
      <c r="C69" s="476"/>
      <c r="D69" s="476"/>
      <c r="E69" s="23">
        <v>0</v>
      </c>
      <c r="F69" s="23">
        <v>18953.169999999998</v>
      </c>
      <c r="H69" s="23">
        <v>0</v>
      </c>
      <c r="J69" s="23">
        <v>18953.169999999998</v>
      </c>
    </row>
    <row r="70" spans="1:10" ht="15.95" customHeight="1" x14ac:dyDescent="0.2">
      <c r="A70" s="27" t="s">
        <v>154</v>
      </c>
      <c r="B70" s="480" t="s">
        <v>155</v>
      </c>
      <c r="C70" s="476"/>
      <c r="D70" s="476"/>
      <c r="E70" s="23">
        <v>0</v>
      </c>
      <c r="F70" s="23">
        <v>84081.93</v>
      </c>
      <c r="H70" s="23">
        <v>0</v>
      </c>
      <c r="J70" s="23">
        <v>84081.93</v>
      </c>
    </row>
    <row r="71" spans="1:10" ht="15.95" customHeight="1" x14ac:dyDescent="0.2">
      <c r="A71" s="27" t="s">
        <v>156</v>
      </c>
      <c r="B71" s="480" t="s">
        <v>157</v>
      </c>
      <c r="C71" s="476"/>
      <c r="D71" s="476"/>
      <c r="E71" s="23">
        <v>0</v>
      </c>
      <c r="F71" s="23">
        <v>54653.21</v>
      </c>
      <c r="H71" s="23">
        <v>54653.21</v>
      </c>
      <c r="J71" s="23">
        <v>0</v>
      </c>
    </row>
    <row r="72" spans="1:10" ht="15.95" customHeight="1" x14ac:dyDescent="0.2">
      <c r="A72" s="27" t="s">
        <v>158</v>
      </c>
      <c r="B72" s="480" t="s">
        <v>159</v>
      </c>
      <c r="C72" s="476"/>
      <c r="D72" s="476"/>
      <c r="E72" s="23">
        <v>0</v>
      </c>
      <c r="F72" s="23">
        <v>252245.69</v>
      </c>
      <c r="H72" s="23">
        <v>252245.69</v>
      </c>
      <c r="J72" s="23">
        <v>0</v>
      </c>
    </row>
    <row r="73" spans="1:10" ht="15.95" customHeight="1" x14ac:dyDescent="0.2">
      <c r="A73" s="27">
        <v>1130102</v>
      </c>
      <c r="B73" s="480" t="s">
        <v>160</v>
      </c>
      <c r="C73" s="476"/>
      <c r="D73" s="476"/>
      <c r="E73" s="23">
        <v>1046598.36</v>
      </c>
      <c r="F73" s="23">
        <v>0</v>
      </c>
      <c r="H73" s="23">
        <v>0</v>
      </c>
      <c r="J73" s="23">
        <v>1046598.36</v>
      </c>
    </row>
    <row r="74" spans="1:10" ht="15.95" customHeight="1" x14ac:dyDescent="0.2">
      <c r="A74" s="27" t="s">
        <v>1447</v>
      </c>
      <c r="B74" s="480" t="s">
        <v>1448</v>
      </c>
      <c r="C74" s="476"/>
      <c r="D74" s="476"/>
      <c r="E74" s="23">
        <v>1046598.36</v>
      </c>
      <c r="F74" s="23">
        <v>0</v>
      </c>
      <c r="H74" s="23">
        <v>0</v>
      </c>
      <c r="J74" s="23">
        <v>1046598.36</v>
      </c>
    </row>
    <row r="75" spans="1:10" ht="15.95" customHeight="1" x14ac:dyDescent="0.2">
      <c r="A75" s="27">
        <v>1130103</v>
      </c>
      <c r="B75" s="480" t="s">
        <v>163</v>
      </c>
      <c r="C75" s="476"/>
      <c r="D75" s="476"/>
      <c r="E75" s="23">
        <v>210132.62</v>
      </c>
      <c r="F75" s="23">
        <v>0</v>
      </c>
      <c r="H75" s="23">
        <v>0</v>
      </c>
      <c r="J75" s="23">
        <v>210132.62</v>
      </c>
    </row>
    <row r="76" spans="1:10" ht="15.95" customHeight="1" x14ac:dyDescent="0.2">
      <c r="A76" s="27" t="s">
        <v>1449</v>
      </c>
      <c r="B76" s="480" t="s">
        <v>1450</v>
      </c>
      <c r="C76" s="476"/>
      <c r="D76" s="476"/>
      <c r="E76" s="23">
        <v>210132.62</v>
      </c>
      <c r="F76" s="23">
        <v>0</v>
      </c>
      <c r="H76" s="23">
        <v>0</v>
      </c>
      <c r="J76" s="23">
        <v>210132.62</v>
      </c>
    </row>
    <row r="77" spans="1:10" ht="15.95" customHeight="1" x14ac:dyDescent="0.2">
      <c r="A77" s="27">
        <v>114</v>
      </c>
      <c r="B77" s="480" t="s">
        <v>173</v>
      </c>
      <c r="C77" s="476"/>
      <c r="D77" s="476"/>
      <c r="E77" s="23">
        <v>103733.55</v>
      </c>
      <c r="F77" s="23">
        <v>53951.93</v>
      </c>
      <c r="H77" s="23">
        <v>88595.88</v>
      </c>
      <c r="J77" s="23">
        <v>69089.600000000006</v>
      </c>
    </row>
    <row r="78" spans="1:10" ht="15.95" customHeight="1" x14ac:dyDescent="0.2">
      <c r="A78" s="27">
        <v>11401</v>
      </c>
      <c r="B78" s="480" t="s">
        <v>174</v>
      </c>
      <c r="C78" s="476"/>
      <c r="D78" s="476"/>
      <c r="E78" s="23">
        <v>103733.55</v>
      </c>
      <c r="F78" s="23">
        <v>53951.93</v>
      </c>
      <c r="H78" s="23">
        <v>88595.88</v>
      </c>
      <c r="J78" s="23">
        <v>69089.600000000006</v>
      </c>
    </row>
    <row r="79" spans="1:10" ht="15.95" customHeight="1" x14ac:dyDescent="0.2">
      <c r="A79" s="27">
        <v>1140101</v>
      </c>
      <c r="B79" s="480" t="s">
        <v>175</v>
      </c>
      <c r="C79" s="476"/>
      <c r="D79" s="476"/>
      <c r="E79" s="23">
        <v>38142.800000000003</v>
      </c>
      <c r="F79" s="23">
        <v>4377.6000000000004</v>
      </c>
      <c r="H79" s="23">
        <v>33127.800000000003</v>
      </c>
      <c r="J79" s="23">
        <v>9392.6</v>
      </c>
    </row>
    <row r="80" spans="1:10" ht="15.95" customHeight="1" x14ac:dyDescent="0.2">
      <c r="A80" s="27" t="s">
        <v>176</v>
      </c>
      <c r="B80" s="480" t="s">
        <v>177</v>
      </c>
      <c r="C80" s="476"/>
      <c r="D80" s="476"/>
      <c r="E80" s="23">
        <v>31200</v>
      </c>
      <c r="F80" s="23">
        <v>0</v>
      </c>
      <c r="H80" s="23">
        <v>27600</v>
      </c>
      <c r="J80" s="23">
        <v>3600</v>
      </c>
    </row>
    <row r="81" spans="1:10" ht="15.95" customHeight="1" x14ac:dyDescent="0.2">
      <c r="A81" s="27" t="s">
        <v>1451</v>
      </c>
      <c r="B81" s="480" t="s">
        <v>1224</v>
      </c>
      <c r="C81" s="476"/>
      <c r="D81" s="476"/>
      <c r="E81" s="23">
        <v>267</v>
      </c>
      <c r="F81" s="23">
        <v>177.6</v>
      </c>
      <c r="H81" s="23">
        <v>322.2</v>
      </c>
      <c r="J81" s="23">
        <v>122.4</v>
      </c>
    </row>
    <row r="82" spans="1:10" ht="15.95" customHeight="1" x14ac:dyDescent="0.2">
      <c r="A82" s="27" t="s">
        <v>178</v>
      </c>
      <c r="B82" s="480" t="s">
        <v>179</v>
      </c>
      <c r="C82" s="476"/>
      <c r="D82" s="476"/>
      <c r="E82" s="23">
        <v>6675.8</v>
      </c>
      <c r="F82" s="23">
        <v>4200</v>
      </c>
      <c r="H82" s="23">
        <v>5205.6000000000004</v>
      </c>
      <c r="J82" s="23">
        <v>5670.2</v>
      </c>
    </row>
    <row r="83" spans="1:10" ht="15.95" customHeight="1" x14ac:dyDescent="0.2">
      <c r="A83" s="27">
        <v>1140102</v>
      </c>
      <c r="B83" s="480" t="s">
        <v>180</v>
      </c>
      <c r="C83" s="476"/>
      <c r="D83" s="476"/>
      <c r="E83" s="23">
        <v>65590.75</v>
      </c>
      <c r="F83" s="23">
        <v>49574.33</v>
      </c>
      <c r="H83" s="23">
        <v>55468.08</v>
      </c>
      <c r="J83" s="23">
        <v>59697</v>
      </c>
    </row>
    <row r="84" spans="1:10" ht="15.95" customHeight="1" x14ac:dyDescent="0.2">
      <c r="A84" s="27" t="s">
        <v>181</v>
      </c>
      <c r="B84" s="480" t="s">
        <v>182</v>
      </c>
      <c r="C84" s="476"/>
      <c r="D84" s="476"/>
      <c r="E84" s="23">
        <v>43335.66</v>
      </c>
      <c r="F84" s="23">
        <v>21045.88</v>
      </c>
      <c r="H84" s="23">
        <v>25692.57</v>
      </c>
      <c r="J84" s="23">
        <v>38688.97</v>
      </c>
    </row>
    <row r="85" spans="1:10" ht="15.95" customHeight="1" x14ac:dyDescent="0.2">
      <c r="A85" s="27" t="s">
        <v>183</v>
      </c>
      <c r="B85" s="480" t="s">
        <v>184</v>
      </c>
      <c r="C85" s="476"/>
      <c r="D85" s="476"/>
      <c r="E85" s="23">
        <v>0</v>
      </c>
      <c r="F85" s="23">
        <v>5959.58</v>
      </c>
      <c r="H85" s="23">
        <v>5959.58</v>
      </c>
      <c r="J85" s="23">
        <v>0</v>
      </c>
    </row>
    <row r="86" spans="1:10" ht="15.95" customHeight="1" x14ac:dyDescent="0.2">
      <c r="A86" s="27" t="s">
        <v>185</v>
      </c>
      <c r="B86" s="480" t="s">
        <v>186</v>
      </c>
      <c r="C86" s="476"/>
      <c r="D86" s="476"/>
      <c r="E86" s="23">
        <v>238.5</v>
      </c>
      <c r="F86" s="23">
        <v>1410</v>
      </c>
      <c r="H86" s="23">
        <v>1496.5</v>
      </c>
      <c r="J86" s="23">
        <v>152</v>
      </c>
    </row>
    <row r="87" spans="1:10" ht="15.95" customHeight="1" x14ac:dyDescent="0.2">
      <c r="A87" s="27" t="s">
        <v>187</v>
      </c>
      <c r="B87" s="480" t="s">
        <v>188</v>
      </c>
      <c r="C87" s="476"/>
      <c r="D87" s="476"/>
      <c r="E87" s="23">
        <v>280</v>
      </c>
      <c r="F87" s="23">
        <v>1704</v>
      </c>
      <c r="H87" s="23">
        <v>1837.44</v>
      </c>
      <c r="J87" s="23">
        <v>146.56</v>
      </c>
    </row>
    <row r="88" spans="1:10" ht="15.95" customHeight="1" x14ac:dyDescent="0.2">
      <c r="A88" s="27" t="s">
        <v>189</v>
      </c>
      <c r="B88" s="480" t="s">
        <v>190</v>
      </c>
      <c r="C88" s="476"/>
      <c r="D88" s="476"/>
      <c r="E88" s="23">
        <v>7530.65</v>
      </c>
      <c r="F88" s="23">
        <v>10159.870000000001</v>
      </c>
      <c r="H88" s="23">
        <v>10496.62</v>
      </c>
      <c r="J88" s="23">
        <v>7193.9</v>
      </c>
    </row>
    <row r="89" spans="1:10" ht="15.95" customHeight="1" x14ac:dyDescent="0.2">
      <c r="A89" s="27" t="s">
        <v>191</v>
      </c>
      <c r="B89" s="480" t="s">
        <v>192</v>
      </c>
      <c r="C89" s="476"/>
      <c r="D89" s="476"/>
      <c r="E89" s="23">
        <v>832.01</v>
      </c>
      <c r="F89" s="23">
        <v>55</v>
      </c>
      <c r="H89" s="23">
        <v>81.53</v>
      </c>
      <c r="J89" s="23">
        <v>805.48</v>
      </c>
    </row>
    <row r="90" spans="1:10" ht="15.95" customHeight="1" x14ac:dyDescent="0.2">
      <c r="A90" s="27" t="s">
        <v>193</v>
      </c>
      <c r="B90" s="480" t="s">
        <v>194</v>
      </c>
      <c r="C90" s="476"/>
      <c r="D90" s="476"/>
      <c r="E90" s="23">
        <v>9259.65</v>
      </c>
      <c r="F90" s="23">
        <v>9240</v>
      </c>
      <c r="H90" s="23">
        <v>9903.84</v>
      </c>
      <c r="J90" s="23">
        <v>8595.81</v>
      </c>
    </row>
    <row r="91" spans="1:10" ht="15.95" customHeight="1" x14ac:dyDescent="0.2">
      <c r="A91" s="27" t="s">
        <v>195</v>
      </c>
      <c r="B91" s="480" t="s">
        <v>196</v>
      </c>
      <c r="C91" s="476"/>
      <c r="D91" s="476"/>
      <c r="E91" s="23">
        <v>4114.28</v>
      </c>
      <c r="F91" s="23">
        <v>0</v>
      </c>
      <c r="H91" s="23">
        <v>0</v>
      </c>
      <c r="J91" s="23">
        <v>4114.28</v>
      </c>
    </row>
    <row r="92" spans="1:10" ht="15.95" customHeight="1" x14ac:dyDescent="0.2">
      <c r="A92" s="27">
        <v>117</v>
      </c>
      <c r="B92" s="480" t="s">
        <v>197</v>
      </c>
      <c r="C92" s="476"/>
      <c r="D92" s="476"/>
      <c r="E92" s="23">
        <v>222491.96</v>
      </c>
      <c r="F92" s="23">
        <v>28502.83</v>
      </c>
      <c r="H92" s="23">
        <v>161627.64000000001</v>
      </c>
      <c r="J92" s="23">
        <v>89367.15</v>
      </c>
    </row>
    <row r="93" spans="1:10" ht="15.95" customHeight="1" x14ac:dyDescent="0.2">
      <c r="A93" s="27">
        <v>11701</v>
      </c>
      <c r="B93" s="480" t="s">
        <v>197</v>
      </c>
      <c r="C93" s="476"/>
      <c r="D93" s="476"/>
      <c r="E93" s="23">
        <v>222491.96</v>
      </c>
      <c r="F93" s="23">
        <v>28502.83</v>
      </c>
      <c r="H93" s="23">
        <v>161627.64000000001</v>
      </c>
      <c r="J93" s="23">
        <v>89367.15</v>
      </c>
    </row>
    <row r="94" spans="1:10" ht="15.95" customHeight="1" x14ac:dyDescent="0.2">
      <c r="A94" s="27">
        <v>1170101</v>
      </c>
      <c r="B94" s="480" t="s">
        <v>198</v>
      </c>
      <c r="C94" s="476"/>
      <c r="D94" s="476"/>
      <c r="E94" s="23">
        <v>206087.82</v>
      </c>
      <c r="F94" s="23">
        <v>16011.87</v>
      </c>
      <c r="H94" s="23">
        <v>142994.14000000001</v>
      </c>
      <c r="J94" s="23">
        <v>79105.55</v>
      </c>
    </row>
    <row r="95" spans="1:10" ht="15.95" customHeight="1" x14ac:dyDescent="0.2">
      <c r="A95" s="27" t="s">
        <v>199</v>
      </c>
      <c r="B95" s="480" t="s">
        <v>200</v>
      </c>
      <c r="C95" s="476"/>
      <c r="D95" s="476"/>
      <c r="E95" s="23">
        <v>161070</v>
      </c>
      <c r="F95" s="23">
        <v>0</v>
      </c>
      <c r="H95" s="23">
        <v>96642</v>
      </c>
      <c r="J95" s="23">
        <v>64428</v>
      </c>
    </row>
    <row r="96" spans="1:10" ht="15.95" customHeight="1" x14ac:dyDescent="0.2">
      <c r="A96" s="27" t="s">
        <v>201</v>
      </c>
      <c r="B96" s="480" t="s">
        <v>202</v>
      </c>
      <c r="C96" s="476"/>
      <c r="D96" s="476"/>
      <c r="E96" s="23">
        <v>45017.82</v>
      </c>
      <c r="F96" s="23">
        <v>16011.87</v>
      </c>
      <c r="H96" s="23">
        <v>46352.14</v>
      </c>
      <c r="J96" s="23">
        <v>14677.55</v>
      </c>
    </row>
    <row r="97" spans="1:10" ht="15.95" customHeight="1" x14ac:dyDescent="0.2">
      <c r="A97" s="27">
        <v>1170102</v>
      </c>
      <c r="B97" s="480" t="s">
        <v>203</v>
      </c>
      <c r="C97" s="476"/>
      <c r="D97" s="476"/>
      <c r="E97" s="23">
        <v>16404.14</v>
      </c>
      <c r="F97" s="23">
        <v>440</v>
      </c>
      <c r="H97" s="23">
        <v>12608</v>
      </c>
      <c r="J97" s="23">
        <v>4236.1400000000003</v>
      </c>
    </row>
    <row r="98" spans="1:10" ht="15.95" customHeight="1" x14ac:dyDescent="0.2">
      <c r="A98" s="27" t="s">
        <v>1452</v>
      </c>
      <c r="B98" s="480" t="s">
        <v>1453</v>
      </c>
      <c r="C98" s="476"/>
      <c r="D98" s="476"/>
      <c r="E98" s="23">
        <v>339.5</v>
      </c>
      <c r="F98" s="23">
        <v>440</v>
      </c>
      <c r="H98" s="23">
        <v>559.52</v>
      </c>
      <c r="J98" s="23">
        <v>219.98</v>
      </c>
    </row>
    <row r="99" spans="1:10" ht="15.95" customHeight="1" x14ac:dyDescent="0.2">
      <c r="A99" s="27" t="s">
        <v>204</v>
      </c>
      <c r="B99" s="480" t="s">
        <v>205</v>
      </c>
      <c r="C99" s="476"/>
      <c r="D99" s="476"/>
      <c r="E99" s="23">
        <v>16064.64</v>
      </c>
      <c r="F99" s="23">
        <v>0</v>
      </c>
      <c r="H99" s="23">
        <v>12048.48</v>
      </c>
      <c r="J99" s="23">
        <v>4016.16</v>
      </c>
    </row>
    <row r="100" spans="1:10" ht="15.95" customHeight="1" x14ac:dyDescent="0.2">
      <c r="A100" s="27">
        <v>1170103</v>
      </c>
      <c r="B100" s="480" t="s">
        <v>206</v>
      </c>
      <c r="C100" s="476"/>
      <c r="D100" s="476"/>
      <c r="E100" s="23">
        <v>0</v>
      </c>
      <c r="F100" s="23">
        <v>12050.96</v>
      </c>
      <c r="H100" s="23">
        <v>6025.5</v>
      </c>
      <c r="J100" s="23">
        <v>6025.46</v>
      </c>
    </row>
    <row r="101" spans="1:10" ht="15.95" customHeight="1" x14ac:dyDescent="0.2">
      <c r="A101" s="27" t="s">
        <v>207</v>
      </c>
      <c r="B101" s="480" t="s">
        <v>208</v>
      </c>
      <c r="C101" s="476"/>
      <c r="D101" s="476"/>
      <c r="E101" s="23">
        <v>0</v>
      </c>
      <c r="F101" s="23">
        <v>12050.96</v>
      </c>
      <c r="H101" s="23">
        <v>6025.5</v>
      </c>
      <c r="J101" s="23">
        <v>6025.46</v>
      </c>
    </row>
    <row r="102" spans="1:10" ht="15.95" customHeight="1" x14ac:dyDescent="0.2">
      <c r="A102" s="27">
        <v>12</v>
      </c>
      <c r="B102" s="480" t="s">
        <v>209</v>
      </c>
      <c r="C102" s="476"/>
      <c r="D102" s="476"/>
      <c r="E102" s="23">
        <v>325188005.11000001</v>
      </c>
      <c r="F102" s="23">
        <v>36277354.539999999</v>
      </c>
      <c r="H102" s="23">
        <v>50402661.119999997</v>
      </c>
      <c r="J102" s="23">
        <v>311062698.52999997</v>
      </c>
    </row>
    <row r="103" spans="1:10" ht="15.95" customHeight="1" x14ac:dyDescent="0.2">
      <c r="A103" s="27">
        <v>121</v>
      </c>
      <c r="B103" s="480" t="s">
        <v>210</v>
      </c>
      <c r="C103" s="476"/>
      <c r="D103" s="476"/>
      <c r="E103" s="23">
        <v>817373.97</v>
      </c>
      <c r="F103" s="23">
        <v>108504.25</v>
      </c>
      <c r="H103" s="23">
        <v>255376.8</v>
      </c>
      <c r="J103" s="23">
        <v>670501.42000000004</v>
      </c>
    </row>
    <row r="104" spans="1:10" ht="15.95" customHeight="1" x14ac:dyDescent="0.2">
      <c r="A104" s="27">
        <v>12101</v>
      </c>
      <c r="B104" s="480" t="s">
        <v>211</v>
      </c>
      <c r="C104" s="476"/>
      <c r="D104" s="476"/>
      <c r="E104" s="23">
        <v>739127.8</v>
      </c>
      <c r="F104" s="23">
        <v>108504.25</v>
      </c>
      <c r="H104" s="23">
        <v>250518.1</v>
      </c>
      <c r="J104" s="23">
        <v>597113.94999999995</v>
      </c>
    </row>
    <row r="105" spans="1:10" ht="15.95" customHeight="1" x14ac:dyDescent="0.2">
      <c r="A105" s="27">
        <v>1210101</v>
      </c>
      <c r="B105" s="480" t="s">
        <v>212</v>
      </c>
      <c r="C105" s="476"/>
      <c r="D105" s="476"/>
      <c r="E105" s="23">
        <v>337890.82</v>
      </c>
      <c r="F105" s="23">
        <v>46450.29</v>
      </c>
      <c r="H105" s="23">
        <v>84235.99</v>
      </c>
      <c r="J105" s="23">
        <v>300105.12</v>
      </c>
    </row>
    <row r="106" spans="1:10" ht="15.95" customHeight="1" x14ac:dyDescent="0.2">
      <c r="A106" s="27" t="s">
        <v>213</v>
      </c>
      <c r="B106" s="480" t="s">
        <v>214</v>
      </c>
      <c r="C106" s="476"/>
      <c r="D106" s="476"/>
      <c r="E106" s="23">
        <v>16601.04</v>
      </c>
      <c r="F106" s="23">
        <v>0</v>
      </c>
      <c r="H106" s="23">
        <v>0</v>
      </c>
      <c r="J106" s="23">
        <v>16601.04</v>
      </c>
    </row>
    <row r="107" spans="1:10" ht="15.95" customHeight="1" x14ac:dyDescent="0.2">
      <c r="A107" s="27" t="s">
        <v>1454</v>
      </c>
      <c r="B107" s="480" t="s">
        <v>1455</v>
      </c>
      <c r="C107" s="476"/>
      <c r="D107" s="476"/>
      <c r="E107" s="23">
        <v>5889.5</v>
      </c>
      <c r="F107" s="23">
        <v>0</v>
      </c>
      <c r="H107" s="23">
        <v>5889.5</v>
      </c>
      <c r="J107" s="23">
        <v>0</v>
      </c>
    </row>
    <row r="108" spans="1:10" ht="15.95" customHeight="1" x14ac:dyDescent="0.2">
      <c r="A108" s="27" t="s">
        <v>1456</v>
      </c>
      <c r="B108" s="480" t="s">
        <v>1457</v>
      </c>
      <c r="C108" s="476"/>
      <c r="D108" s="476"/>
      <c r="E108" s="23">
        <v>6290</v>
      </c>
      <c r="F108" s="23">
        <v>0</v>
      </c>
      <c r="H108" s="23">
        <v>6290</v>
      </c>
      <c r="J108" s="23">
        <v>0</v>
      </c>
    </row>
    <row r="109" spans="1:10" ht="15.95" customHeight="1" x14ac:dyDescent="0.2">
      <c r="A109" s="27" t="s">
        <v>1458</v>
      </c>
      <c r="B109" s="480" t="s">
        <v>1459</v>
      </c>
      <c r="C109" s="476"/>
      <c r="D109" s="476"/>
      <c r="E109" s="23">
        <v>6598.21</v>
      </c>
      <c r="F109" s="23">
        <v>0</v>
      </c>
      <c r="H109" s="23">
        <v>6598.21</v>
      </c>
      <c r="J109" s="23">
        <v>0</v>
      </c>
    </row>
    <row r="110" spans="1:10" ht="15.95" customHeight="1" x14ac:dyDescent="0.2">
      <c r="A110" s="27" t="s">
        <v>1460</v>
      </c>
      <c r="B110" s="480" t="s">
        <v>1461</v>
      </c>
      <c r="C110" s="476"/>
      <c r="D110" s="476"/>
      <c r="E110" s="23">
        <v>6598.21</v>
      </c>
      <c r="F110" s="23">
        <v>0</v>
      </c>
      <c r="H110" s="23">
        <v>0</v>
      </c>
      <c r="J110" s="23">
        <v>6598.21</v>
      </c>
    </row>
    <row r="111" spans="1:10" ht="15.95" customHeight="1" x14ac:dyDescent="0.2">
      <c r="A111" s="27" t="s">
        <v>215</v>
      </c>
      <c r="B111" s="480" t="s">
        <v>216</v>
      </c>
      <c r="C111" s="476"/>
      <c r="D111" s="476"/>
      <c r="E111" s="23">
        <v>8183.06</v>
      </c>
      <c r="F111" s="23">
        <v>0</v>
      </c>
      <c r="H111" s="23">
        <v>0</v>
      </c>
      <c r="J111" s="23">
        <v>8183.06</v>
      </c>
    </row>
    <row r="112" spans="1:10" ht="15.95" customHeight="1" x14ac:dyDescent="0.2">
      <c r="A112" s="27" t="s">
        <v>217</v>
      </c>
      <c r="B112" s="480" t="s">
        <v>218</v>
      </c>
      <c r="C112" s="476"/>
      <c r="D112" s="476"/>
      <c r="E112" s="23">
        <v>27985.95</v>
      </c>
      <c r="F112" s="23">
        <v>9513.16</v>
      </c>
      <c r="H112" s="23">
        <v>0</v>
      </c>
      <c r="J112" s="23">
        <v>37499.11</v>
      </c>
    </row>
    <row r="113" spans="1:10" ht="15.95" customHeight="1" x14ac:dyDescent="0.2">
      <c r="A113" s="27" t="s">
        <v>1462</v>
      </c>
      <c r="B113" s="480" t="s">
        <v>1463</v>
      </c>
      <c r="C113" s="476"/>
      <c r="D113" s="476"/>
      <c r="E113" s="23">
        <v>8959.6299999999992</v>
      </c>
      <c r="F113" s="23">
        <v>0</v>
      </c>
      <c r="H113" s="23">
        <v>0</v>
      </c>
      <c r="J113" s="23">
        <v>8959.6299999999992</v>
      </c>
    </row>
    <row r="114" spans="1:10" ht="15.95" customHeight="1" x14ac:dyDescent="0.2">
      <c r="A114" s="27" t="s">
        <v>1464</v>
      </c>
      <c r="B114" s="480" t="s">
        <v>1465</v>
      </c>
      <c r="C114" s="476"/>
      <c r="D114" s="476"/>
      <c r="E114" s="23">
        <v>9189</v>
      </c>
      <c r="F114" s="23">
        <v>0</v>
      </c>
      <c r="H114" s="23">
        <v>9189</v>
      </c>
      <c r="J114" s="23">
        <v>0</v>
      </c>
    </row>
    <row r="115" spans="1:10" ht="15.95" customHeight="1" x14ac:dyDescent="0.2">
      <c r="A115" s="27" t="s">
        <v>219</v>
      </c>
      <c r="B115" s="480" t="s">
        <v>220</v>
      </c>
      <c r="C115" s="476"/>
      <c r="D115" s="476"/>
      <c r="E115" s="23">
        <v>9189</v>
      </c>
      <c r="F115" s="23">
        <v>21152.45</v>
      </c>
      <c r="H115" s="23">
        <v>0</v>
      </c>
      <c r="J115" s="23">
        <v>30341.45</v>
      </c>
    </row>
    <row r="116" spans="1:10" ht="15.95" customHeight="1" x14ac:dyDescent="0.2">
      <c r="A116" s="27" t="s">
        <v>221</v>
      </c>
      <c r="B116" s="480" t="s">
        <v>222</v>
      </c>
      <c r="C116" s="476"/>
      <c r="D116" s="476"/>
      <c r="E116" s="23">
        <v>28215.32</v>
      </c>
      <c r="F116" s="23">
        <v>5784.68</v>
      </c>
      <c r="H116" s="23">
        <v>0</v>
      </c>
      <c r="J116" s="23">
        <v>34000</v>
      </c>
    </row>
    <row r="117" spans="1:10" ht="15.95" customHeight="1" x14ac:dyDescent="0.2">
      <c r="A117" s="27" t="s">
        <v>223</v>
      </c>
      <c r="B117" s="480" t="s">
        <v>224</v>
      </c>
      <c r="C117" s="476"/>
      <c r="D117" s="476"/>
      <c r="E117" s="23">
        <v>30000</v>
      </c>
      <c r="F117" s="23">
        <v>0</v>
      </c>
      <c r="H117" s="23">
        <v>0</v>
      </c>
      <c r="J117" s="23">
        <v>30000</v>
      </c>
    </row>
    <row r="118" spans="1:10" ht="15.95" customHeight="1" x14ac:dyDescent="0.2">
      <c r="A118" s="27" t="s">
        <v>225</v>
      </c>
      <c r="B118" s="480" t="s">
        <v>226</v>
      </c>
      <c r="C118" s="476"/>
      <c r="D118" s="476"/>
      <c r="E118" s="23">
        <v>9189</v>
      </c>
      <c r="F118" s="23">
        <v>0</v>
      </c>
      <c r="H118" s="23">
        <v>0</v>
      </c>
      <c r="J118" s="23">
        <v>9189</v>
      </c>
    </row>
    <row r="119" spans="1:10" ht="27.95" customHeight="1" x14ac:dyDescent="0.2">
      <c r="A119" s="27" t="s">
        <v>227</v>
      </c>
      <c r="B119" s="480" t="s">
        <v>228</v>
      </c>
      <c r="C119" s="476"/>
      <c r="D119" s="476"/>
      <c r="E119" s="23">
        <v>9189</v>
      </c>
      <c r="F119" s="23">
        <v>0</v>
      </c>
      <c r="H119" s="23">
        <v>0</v>
      </c>
      <c r="J119" s="23">
        <v>9189</v>
      </c>
    </row>
    <row r="120" spans="1:10" ht="15.95" customHeight="1" x14ac:dyDescent="0.2">
      <c r="A120" s="484" t="s">
        <v>1446</v>
      </c>
      <c r="B120" s="476"/>
      <c r="C120" s="476"/>
      <c r="D120" s="96" t="s">
        <v>1742</v>
      </c>
      <c r="J120" s="97" t="s">
        <v>1743</v>
      </c>
    </row>
    <row r="121" spans="1:10" ht="20.100000000000001" customHeight="1" x14ac:dyDescent="0.2">
      <c r="A121" s="93" t="s">
        <v>1424</v>
      </c>
      <c r="J121" s="94" t="s">
        <v>1745</v>
      </c>
    </row>
    <row r="122" spans="1:10" ht="15.95" customHeight="1" x14ac:dyDescent="0.2">
      <c r="A122" s="27" t="s">
        <v>1737</v>
      </c>
      <c r="C122" s="27" t="s">
        <v>0</v>
      </c>
      <c r="J122" s="23" t="s">
        <v>1738</v>
      </c>
    </row>
    <row r="123" spans="1:10" ht="14.1" customHeight="1" x14ac:dyDescent="0.2">
      <c r="A123" s="95" t="s">
        <v>1739</v>
      </c>
      <c r="J123" s="23" t="s">
        <v>1740</v>
      </c>
    </row>
    <row r="124" spans="1:10" ht="15" customHeight="1" x14ac:dyDescent="0.2">
      <c r="A124" s="95" t="s">
        <v>1741</v>
      </c>
    </row>
    <row r="125" spans="1:10" ht="23.1" customHeight="1" x14ac:dyDescent="0.2">
      <c r="A125" s="20" t="s">
        <v>55</v>
      </c>
      <c r="B125" s="20" t="s">
        <v>56</v>
      </c>
      <c r="E125" s="21" t="s">
        <v>57</v>
      </c>
      <c r="F125" s="21" t="s">
        <v>58</v>
      </c>
      <c r="H125" s="21" t="s">
        <v>59</v>
      </c>
      <c r="J125" s="21" t="s">
        <v>60</v>
      </c>
    </row>
    <row r="126" spans="1:10" ht="15.95" customHeight="1" x14ac:dyDescent="0.2">
      <c r="A126" s="27" t="s">
        <v>229</v>
      </c>
      <c r="B126" s="480" t="s">
        <v>230</v>
      </c>
      <c r="C126" s="476"/>
      <c r="D126" s="476"/>
      <c r="E126" s="23">
        <v>28215.32</v>
      </c>
      <c r="F126" s="23">
        <v>9513.16</v>
      </c>
      <c r="H126" s="23">
        <v>0</v>
      </c>
      <c r="J126" s="23">
        <v>37728.480000000003</v>
      </c>
    </row>
    <row r="127" spans="1:10" ht="15.95" customHeight="1" x14ac:dyDescent="0.2">
      <c r="A127" s="27" t="s">
        <v>231</v>
      </c>
      <c r="B127" s="480" t="s">
        <v>232</v>
      </c>
      <c r="C127" s="476"/>
      <c r="D127" s="476"/>
      <c r="E127" s="23">
        <v>6000</v>
      </c>
      <c r="F127" s="23">
        <v>0</v>
      </c>
      <c r="H127" s="23">
        <v>0</v>
      </c>
      <c r="J127" s="23">
        <v>6000</v>
      </c>
    </row>
    <row r="128" spans="1:10" ht="15.95" customHeight="1" x14ac:dyDescent="0.2">
      <c r="A128" s="27" t="s">
        <v>233</v>
      </c>
      <c r="B128" s="480" t="s">
        <v>234</v>
      </c>
      <c r="C128" s="476"/>
      <c r="D128" s="476"/>
      <c r="E128" s="23">
        <v>16175.6</v>
      </c>
      <c r="F128" s="23">
        <v>0</v>
      </c>
      <c r="H128" s="23">
        <v>0</v>
      </c>
      <c r="J128" s="23">
        <v>16175.6</v>
      </c>
    </row>
    <row r="129" spans="1:10" ht="15.95" customHeight="1" x14ac:dyDescent="0.2">
      <c r="A129" s="27" t="s">
        <v>235</v>
      </c>
      <c r="B129" s="480" t="s">
        <v>236</v>
      </c>
      <c r="C129" s="476"/>
      <c r="D129" s="476"/>
      <c r="E129" s="23">
        <v>9189</v>
      </c>
      <c r="F129" s="23">
        <v>0</v>
      </c>
      <c r="H129" s="23">
        <v>0</v>
      </c>
      <c r="J129" s="23">
        <v>9189</v>
      </c>
    </row>
    <row r="130" spans="1:10" ht="15.95" customHeight="1" x14ac:dyDescent="0.2">
      <c r="A130" s="27" t="s">
        <v>237</v>
      </c>
      <c r="B130" s="480" t="s">
        <v>238</v>
      </c>
      <c r="C130" s="476"/>
      <c r="D130" s="476"/>
      <c r="E130" s="23">
        <v>9189</v>
      </c>
      <c r="F130" s="23">
        <v>0</v>
      </c>
      <c r="H130" s="23">
        <v>0</v>
      </c>
      <c r="J130" s="23">
        <v>9189</v>
      </c>
    </row>
    <row r="131" spans="1:10" ht="15.95" customHeight="1" x14ac:dyDescent="0.2">
      <c r="A131" s="27" t="s">
        <v>239</v>
      </c>
      <c r="B131" s="480" t="s">
        <v>240</v>
      </c>
      <c r="C131" s="476"/>
      <c r="D131" s="476"/>
      <c r="E131" s="23">
        <v>9513.16</v>
      </c>
      <c r="F131" s="23">
        <v>486.84</v>
      </c>
      <c r="H131" s="23">
        <v>0</v>
      </c>
      <c r="J131" s="23">
        <v>10000</v>
      </c>
    </row>
    <row r="132" spans="1:10" ht="15.95" customHeight="1" x14ac:dyDescent="0.2">
      <c r="A132" s="27" t="s">
        <v>241</v>
      </c>
      <c r="B132" s="480" t="s">
        <v>242</v>
      </c>
      <c r="C132" s="476"/>
      <c r="D132" s="476"/>
      <c r="E132" s="23">
        <v>2236.2199999999998</v>
      </c>
      <c r="F132" s="23">
        <v>0</v>
      </c>
      <c r="H132" s="23">
        <v>0</v>
      </c>
      <c r="J132" s="23">
        <v>2236.2199999999998</v>
      </c>
    </row>
    <row r="133" spans="1:10" ht="15.95" customHeight="1" x14ac:dyDescent="0.2">
      <c r="A133" s="27" t="s">
        <v>245</v>
      </c>
      <c r="B133" s="480" t="s">
        <v>246</v>
      </c>
      <c r="C133" s="476"/>
      <c r="D133" s="476"/>
      <c r="E133" s="23">
        <v>9513.16</v>
      </c>
      <c r="F133" s="23">
        <v>0</v>
      </c>
      <c r="H133" s="23">
        <v>0</v>
      </c>
      <c r="J133" s="23">
        <v>9513.16</v>
      </c>
    </row>
    <row r="134" spans="1:10" ht="15.95" customHeight="1" x14ac:dyDescent="0.2">
      <c r="A134" s="27" t="s">
        <v>247</v>
      </c>
      <c r="B134" s="480" t="s">
        <v>248</v>
      </c>
      <c r="C134" s="476"/>
      <c r="D134" s="476"/>
      <c r="E134" s="23">
        <v>9513.16</v>
      </c>
      <c r="F134" s="23">
        <v>0</v>
      </c>
      <c r="H134" s="23">
        <v>0</v>
      </c>
      <c r="J134" s="23">
        <v>9513.16</v>
      </c>
    </row>
    <row r="135" spans="1:10" ht="15.95" customHeight="1" x14ac:dyDescent="0.2">
      <c r="A135" s="27" t="s">
        <v>1598</v>
      </c>
      <c r="B135" s="480" t="s">
        <v>263</v>
      </c>
      <c r="C135" s="476"/>
      <c r="D135" s="476"/>
      <c r="E135" s="23">
        <v>56269.279999999999</v>
      </c>
      <c r="F135" s="23">
        <v>0</v>
      </c>
      <c r="H135" s="23">
        <v>56269.279999999999</v>
      </c>
      <c r="J135" s="23">
        <v>0</v>
      </c>
    </row>
    <row r="136" spans="1:10" ht="15.95" customHeight="1" x14ac:dyDescent="0.2">
      <c r="A136" s="27">
        <v>1210102</v>
      </c>
      <c r="B136" s="480" t="s">
        <v>253</v>
      </c>
      <c r="C136" s="476"/>
      <c r="D136" s="476"/>
      <c r="E136" s="23">
        <v>385082.01</v>
      </c>
      <c r="F136" s="23">
        <v>62053.96</v>
      </c>
      <c r="H136" s="23">
        <v>156552.14000000001</v>
      </c>
      <c r="J136" s="23">
        <v>290583.83</v>
      </c>
    </row>
    <row r="137" spans="1:10" ht="15.95" customHeight="1" x14ac:dyDescent="0.2">
      <c r="A137" s="27" t="s">
        <v>254</v>
      </c>
      <c r="B137" s="480" t="s">
        <v>255</v>
      </c>
      <c r="C137" s="476"/>
      <c r="D137" s="476"/>
      <c r="E137" s="23">
        <v>83470.55</v>
      </c>
      <c r="F137" s="23">
        <v>0</v>
      </c>
      <c r="H137" s="23">
        <v>0</v>
      </c>
      <c r="J137" s="23">
        <v>83470.55</v>
      </c>
    </row>
    <row r="138" spans="1:10" ht="15.95" customHeight="1" x14ac:dyDescent="0.2">
      <c r="A138" s="27" t="s">
        <v>1466</v>
      </c>
      <c r="B138" s="480" t="s">
        <v>1467</v>
      </c>
      <c r="C138" s="476"/>
      <c r="D138" s="476"/>
      <c r="E138" s="23">
        <v>85454.88</v>
      </c>
      <c r="F138" s="23">
        <v>0</v>
      </c>
      <c r="H138" s="23">
        <v>85454.88</v>
      </c>
      <c r="J138" s="23">
        <v>0</v>
      </c>
    </row>
    <row r="139" spans="1:10" ht="15.95" customHeight="1" x14ac:dyDescent="0.2">
      <c r="A139" s="27" t="s">
        <v>256</v>
      </c>
      <c r="B139" s="480" t="s">
        <v>257</v>
      </c>
      <c r="C139" s="476"/>
      <c r="D139" s="476"/>
      <c r="E139" s="23">
        <v>56164.26</v>
      </c>
      <c r="F139" s="23">
        <v>0</v>
      </c>
      <c r="H139" s="23">
        <v>0</v>
      </c>
      <c r="J139" s="23">
        <v>56164.26</v>
      </c>
    </row>
    <row r="140" spans="1:10" ht="15.95" customHeight="1" x14ac:dyDescent="0.2">
      <c r="A140" s="27" t="s">
        <v>1468</v>
      </c>
      <c r="B140" s="480" t="s">
        <v>1469</v>
      </c>
      <c r="C140" s="476"/>
      <c r="D140" s="476"/>
      <c r="E140" s="23">
        <v>7376.34</v>
      </c>
      <c r="F140" s="23">
        <v>0</v>
      </c>
      <c r="H140" s="23">
        <v>7376.34</v>
      </c>
      <c r="J140" s="23">
        <v>0</v>
      </c>
    </row>
    <row r="141" spans="1:10" ht="15.95" customHeight="1" x14ac:dyDescent="0.2">
      <c r="A141" s="27" t="s">
        <v>1470</v>
      </c>
      <c r="B141" s="480" t="s">
        <v>1471</v>
      </c>
      <c r="C141" s="476"/>
      <c r="D141" s="476"/>
      <c r="E141" s="23">
        <v>86201.25</v>
      </c>
      <c r="F141" s="23">
        <v>0</v>
      </c>
      <c r="H141" s="23">
        <v>0</v>
      </c>
      <c r="J141" s="23">
        <v>86201.25</v>
      </c>
    </row>
    <row r="142" spans="1:10" ht="15.95" customHeight="1" x14ac:dyDescent="0.2">
      <c r="A142" s="27" t="s">
        <v>1472</v>
      </c>
      <c r="B142" s="480" t="s">
        <v>1473</v>
      </c>
      <c r="C142" s="476"/>
      <c r="D142" s="476"/>
      <c r="E142" s="23">
        <v>19561.36</v>
      </c>
      <c r="F142" s="23">
        <v>0</v>
      </c>
      <c r="H142" s="23">
        <v>19561.36</v>
      </c>
      <c r="J142" s="23">
        <v>0</v>
      </c>
    </row>
    <row r="143" spans="1:10" ht="15.95" customHeight="1" x14ac:dyDescent="0.2">
      <c r="A143" s="27" t="s">
        <v>258</v>
      </c>
      <c r="B143" s="480" t="s">
        <v>259</v>
      </c>
      <c r="C143" s="476"/>
      <c r="D143" s="476"/>
      <c r="E143" s="23">
        <v>5948.57</v>
      </c>
      <c r="F143" s="23">
        <v>0</v>
      </c>
      <c r="H143" s="23">
        <v>0</v>
      </c>
      <c r="J143" s="23">
        <v>5948.57</v>
      </c>
    </row>
    <row r="144" spans="1:10" ht="15.95" customHeight="1" x14ac:dyDescent="0.2">
      <c r="A144" s="27" t="s">
        <v>260</v>
      </c>
      <c r="B144" s="480" t="s">
        <v>261</v>
      </c>
      <c r="C144" s="476"/>
      <c r="D144" s="476"/>
      <c r="E144" s="23">
        <v>2529.92</v>
      </c>
      <c r="F144" s="23">
        <v>0</v>
      </c>
      <c r="H144" s="23">
        <v>0</v>
      </c>
      <c r="J144" s="23">
        <v>2529.92</v>
      </c>
    </row>
    <row r="145" spans="1:10" ht="15.95" customHeight="1" x14ac:dyDescent="0.2">
      <c r="A145" s="27" t="s">
        <v>1599</v>
      </c>
      <c r="B145" s="480" t="s">
        <v>222</v>
      </c>
      <c r="C145" s="476"/>
      <c r="D145" s="476"/>
      <c r="E145" s="23">
        <v>0</v>
      </c>
      <c r="F145" s="23">
        <v>5784.68</v>
      </c>
      <c r="H145" s="23">
        <v>5784.68</v>
      </c>
      <c r="J145" s="23">
        <v>0</v>
      </c>
    </row>
    <row r="146" spans="1:10" ht="15.95" customHeight="1" x14ac:dyDescent="0.2">
      <c r="A146" s="27" t="s">
        <v>1474</v>
      </c>
      <c r="B146" s="480" t="s">
        <v>1475</v>
      </c>
      <c r="C146" s="476"/>
      <c r="D146" s="476"/>
      <c r="E146" s="23">
        <v>38374.879999999997</v>
      </c>
      <c r="F146" s="23">
        <v>0</v>
      </c>
      <c r="H146" s="23">
        <v>38374.879999999997</v>
      </c>
      <c r="J146" s="23">
        <v>0</v>
      </c>
    </row>
    <row r="147" spans="1:10" ht="15.95" customHeight="1" x14ac:dyDescent="0.2">
      <c r="A147" s="27" t="s">
        <v>262</v>
      </c>
      <c r="B147" s="480" t="s">
        <v>263</v>
      </c>
      <c r="C147" s="476"/>
      <c r="D147" s="476"/>
      <c r="E147" s="23">
        <v>0</v>
      </c>
      <c r="F147" s="23">
        <v>56269.279999999999</v>
      </c>
      <c r="H147" s="23">
        <v>0</v>
      </c>
      <c r="J147" s="23">
        <v>56269.279999999999</v>
      </c>
    </row>
    <row r="148" spans="1:10" ht="15.95" customHeight="1" x14ac:dyDescent="0.2">
      <c r="A148" s="27">
        <v>1210103</v>
      </c>
      <c r="B148" s="480" t="s">
        <v>1476</v>
      </c>
      <c r="C148" s="476"/>
      <c r="D148" s="476"/>
      <c r="E148" s="23">
        <v>9729.9699999999993</v>
      </c>
      <c r="F148" s="23">
        <v>0</v>
      </c>
      <c r="H148" s="23">
        <v>9729.9699999999993</v>
      </c>
      <c r="J148" s="23">
        <v>0</v>
      </c>
    </row>
    <row r="149" spans="1:10" ht="15.95" customHeight="1" x14ac:dyDescent="0.2">
      <c r="A149" s="27" t="s">
        <v>1477</v>
      </c>
      <c r="B149" s="480" t="s">
        <v>1478</v>
      </c>
      <c r="C149" s="476"/>
      <c r="D149" s="476"/>
      <c r="E149" s="23">
        <v>9729.9699999999993</v>
      </c>
      <c r="F149" s="23">
        <v>0</v>
      </c>
      <c r="H149" s="23">
        <v>9729.9699999999993</v>
      </c>
      <c r="J149" s="23">
        <v>0</v>
      </c>
    </row>
    <row r="150" spans="1:10" ht="15.95" customHeight="1" x14ac:dyDescent="0.2">
      <c r="A150" s="27">
        <v>1210106</v>
      </c>
      <c r="B150" s="480" t="s">
        <v>264</v>
      </c>
      <c r="C150" s="476"/>
      <c r="D150" s="476"/>
      <c r="E150" s="23">
        <v>6425</v>
      </c>
      <c r="F150" s="23">
        <v>0</v>
      </c>
      <c r="H150" s="23">
        <v>0</v>
      </c>
      <c r="J150" s="23">
        <v>6425</v>
      </c>
    </row>
    <row r="151" spans="1:10" ht="15.95" customHeight="1" x14ac:dyDescent="0.2">
      <c r="A151" s="27" t="s">
        <v>1479</v>
      </c>
      <c r="B151" s="480" t="s">
        <v>1480</v>
      </c>
      <c r="C151" s="476"/>
      <c r="D151" s="476"/>
      <c r="E151" s="23">
        <v>6425</v>
      </c>
      <c r="F151" s="23">
        <v>0</v>
      </c>
      <c r="H151" s="23">
        <v>0</v>
      </c>
      <c r="J151" s="23">
        <v>6425</v>
      </c>
    </row>
    <row r="152" spans="1:10" ht="15.95" customHeight="1" x14ac:dyDescent="0.2">
      <c r="A152" s="27">
        <v>12102</v>
      </c>
      <c r="B152" s="480" t="s">
        <v>96</v>
      </c>
      <c r="C152" s="476"/>
      <c r="D152" s="476"/>
      <c r="E152" s="23">
        <v>78246.17</v>
      </c>
      <c r="F152" s="23">
        <v>0</v>
      </c>
      <c r="H152" s="23">
        <v>4858.7</v>
      </c>
      <c r="J152" s="23">
        <v>73387.47</v>
      </c>
    </row>
    <row r="153" spans="1:10" ht="15.95" customHeight="1" x14ac:dyDescent="0.2">
      <c r="A153" s="27">
        <v>1210201</v>
      </c>
      <c r="B153" s="480" t="s">
        <v>97</v>
      </c>
      <c r="C153" s="476"/>
      <c r="D153" s="476"/>
      <c r="E153" s="23">
        <v>78246.17</v>
      </c>
      <c r="F153" s="23">
        <v>0</v>
      </c>
      <c r="H153" s="23">
        <v>4858.7</v>
      </c>
      <c r="J153" s="23">
        <v>73387.47</v>
      </c>
    </row>
    <row r="154" spans="1:10" ht="15.95" customHeight="1" x14ac:dyDescent="0.2">
      <c r="A154" s="27" t="s">
        <v>267</v>
      </c>
      <c r="B154" s="480" t="s">
        <v>102</v>
      </c>
      <c r="C154" s="476"/>
      <c r="D154" s="476"/>
      <c r="E154" s="23">
        <v>73387.47</v>
      </c>
      <c r="F154" s="23">
        <v>0</v>
      </c>
      <c r="H154" s="23">
        <v>0</v>
      </c>
      <c r="J154" s="23">
        <v>73387.47</v>
      </c>
    </row>
    <row r="155" spans="1:10" ht="15.95" customHeight="1" x14ac:dyDescent="0.2">
      <c r="A155" s="27" t="s">
        <v>1481</v>
      </c>
      <c r="B155" s="480" t="s">
        <v>1482</v>
      </c>
      <c r="C155" s="476"/>
      <c r="D155" s="476"/>
      <c r="E155" s="23">
        <v>4858.7</v>
      </c>
      <c r="F155" s="23">
        <v>0</v>
      </c>
      <c r="H155" s="23">
        <v>4858.7</v>
      </c>
      <c r="J155" s="23">
        <v>0</v>
      </c>
    </row>
    <row r="156" spans="1:10" ht="15.95" customHeight="1" x14ac:dyDescent="0.2">
      <c r="A156" s="27">
        <v>122</v>
      </c>
      <c r="B156" s="480" t="s">
        <v>268</v>
      </c>
      <c r="C156" s="476"/>
      <c r="D156" s="476"/>
      <c r="E156" s="23">
        <v>12203.91</v>
      </c>
      <c r="F156" s="23">
        <v>0</v>
      </c>
      <c r="H156" s="23">
        <v>0</v>
      </c>
      <c r="J156" s="23">
        <v>12203.91</v>
      </c>
    </row>
    <row r="157" spans="1:10" ht="15.95" customHeight="1" x14ac:dyDescent="0.2">
      <c r="A157" s="27">
        <v>12201</v>
      </c>
      <c r="B157" s="480" t="s">
        <v>268</v>
      </c>
      <c r="C157" s="476"/>
      <c r="D157" s="476"/>
      <c r="E157" s="23">
        <v>12203.91</v>
      </c>
      <c r="F157" s="23">
        <v>0</v>
      </c>
      <c r="H157" s="23">
        <v>0</v>
      </c>
      <c r="J157" s="23">
        <v>12203.91</v>
      </c>
    </row>
    <row r="158" spans="1:10" ht="15.95" customHeight="1" x14ac:dyDescent="0.2">
      <c r="A158" s="27">
        <v>1220105</v>
      </c>
      <c r="B158" s="480" t="s">
        <v>269</v>
      </c>
      <c r="C158" s="476"/>
      <c r="D158" s="476"/>
      <c r="E158" s="23">
        <v>12203.91</v>
      </c>
      <c r="F158" s="23">
        <v>0</v>
      </c>
      <c r="H158" s="23">
        <v>0</v>
      </c>
      <c r="J158" s="23">
        <v>12203.91</v>
      </c>
    </row>
    <row r="159" spans="1:10" ht="15.95" customHeight="1" x14ac:dyDescent="0.2">
      <c r="A159" s="27" t="s">
        <v>270</v>
      </c>
      <c r="B159" s="480" t="s">
        <v>271</v>
      </c>
      <c r="C159" s="476"/>
      <c r="D159" s="476"/>
      <c r="E159" s="23">
        <v>4179.53</v>
      </c>
      <c r="F159" s="23">
        <v>0</v>
      </c>
      <c r="H159" s="23">
        <v>0</v>
      </c>
      <c r="J159" s="23">
        <v>4179.53</v>
      </c>
    </row>
    <row r="160" spans="1:10" ht="15.95" customHeight="1" x14ac:dyDescent="0.2">
      <c r="A160" s="27" t="s">
        <v>272</v>
      </c>
      <c r="B160" s="480" t="s">
        <v>273</v>
      </c>
      <c r="C160" s="476"/>
      <c r="D160" s="476"/>
      <c r="E160" s="23">
        <v>8024.38</v>
      </c>
      <c r="F160" s="23">
        <v>0</v>
      </c>
      <c r="H160" s="23">
        <v>0</v>
      </c>
      <c r="J160" s="23">
        <v>8024.38</v>
      </c>
    </row>
    <row r="161" spans="1:10" ht="15.95" customHeight="1" x14ac:dyDescent="0.2">
      <c r="A161" s="27">
        <v>123</v>
      </c>
      <c r="B161" s="480" t="s">
        <v>274</v>
      </c>
      <c r="C161" s="476"/>
      <c r="D161" s="476"/>
      <c r="E161" s="23">
        <v>322168427.23000002</v>
      </c>
      <c r="F161" s="23">
        <v>36168850.289999999</v>
      </c>
      <c r="H161" s="23">
        <v>49518986.469999999</v>
      </c>
      <c r="J161" s="23">
        <v>308818291.05000001</v>
      </c>
    </row>
    <row r="162" spans="1:10" ht="15.95" customHeight="1" x14ac:dyDescent="0.2">
      <c r="A162" s="27">
        <v>12301</v>
      </c>
      <c r="B162" s="480" t="s">
        <v>274</v>
      </c>
      <c r="C162" s="476"/>
      <c r="D162" s="476"/>
      <c r="E162" s="23">
        <v>402823127.56</v>
      </c>
      <c r="F162" s="23">
        <v>34669988.189999998</v>
      </c>
      <c r="H162" s="23">
        <v>42430708.950000003</v>
      </c>
      <c r="J162" s="23">
        <v>395062406.80000001</v>
      </c>
    </row>
    <row r="163" spans="1:10" ht="15.95" customHeight="1" x14ac:dyDescent="0.2">
      <c r="A163" s="27">
        <v>1230101</v>
      </c>
      <c r="B163" s="480" t="s">
        <v>275</v>
      </c>
      <c r="C163" s="476"/>
      <c r="D163" s="476"/>
      <c r="E163" s="23">
        <v>14974342.1</v>
      </c>
      <c r="F163" s="23">
        <v>400</v>
      </c>
      <c r="H163" s="23">
        <v>0</v>
      </c>
      <c r="J163" s="23">
        <v>14974742.1</v>
      </c>
    </row>
    <row r="164" spans="1:10" ht="15.95" customHeight="1" x14ac:dyDescent="0.2">
      <c r="A164" s="27" t="s">
        <v>276</v>
      </c>
      <c r="B164" s="480" t="s">
        <v>277</v>
      </c>
      <c r="C164" s="476"/>
      <c r="D164" s="476"/>
      <c r="E164" s="23">
        <v>65660.77</v>
      </c>
      <c r="F164" s="23">
        <v>0</v>
      </c>
      <c r="H164" s="23">
        <v>0</v>
      </c>
      <c r="J164" s="23">
        <v>65660.77</v>
      </c>
    </row>
    <row r="165" spans="1:10" ht="15.95" customHeight="1" x14ac:dyDescent="0.2">
      <c r="A165" s="27" t="s">
        <v>278</v>
      </c>
      <c r="B165" s="480" t="s">
        <v>279</v>
      </c>
      <c r="C165" s="476"/>
      <c r="D165" s="476"/>
      <c r="E165" s="23">
        <v>12832.06</v>
      </c>
      <c r="F165" s="23">
        <v>0</v>
      </c>
      <c r="H165" s="23">
        <v>0</v>
      </c>
      <c r="J165" s="23">
        <v>12832.06</v>
      </c>
    </row>
    <row r="166" spans="1:10" ht="15.95" customHeight="1" x14ac:dyDescent="0.2">
      <c r="A166" s="27" t="s">
        <v>280</v>
      </c>
      <c r="B166" s="480" t="s">
        <v>281</v>
      </c>
      <c r="C166" s="476"/>
      <c r="D166" s="476"/>
      <c r="E166" s="23">
        <v>1204903.52</v>
      </c>
      <c r="F166" s="23">
        <v>0</v>
      </c>
      <c r="H166" s="23">
        <v>0</v>
      </c>
      <c r="J166" s="23">
        <v>1204903.52</v>
      </c>
    </row>
    <row r="167" spans="1:10" ht="15.95" customHeight="1" x14ac:dyDescent="0.2">
      <c r="A167" s="27" t="s">
        <v>282</v>
      </c>
      <c r="B167" s="480" t="s">
        <v>283</v>
      </c>
      <c r="C167" s="476"/>
      <c r="D167" s="476"/>
      <c r="E167" s="23">
        <v>9692277.8000000007</v>
      </c>
      <c r="F167" s="23">
        <v>0</v>
      </c>
      <c r="H167" s="23">
        <v>0</v>
      </c>
      <c r="J167" s="23">
        <v>9692277.8000000007</v>
      </c>
    </row>
    <row r="168" spans="1:10" ht="15.95" customHeight="1" x14ac:dyDescent="0.2">
      <c r="A168" s="27" t="s">
        <v>284</v>
      </c>
      <c r="B168" s="480" t="s">
        <v>285</v>
      </c>
      <c r="C168" s="476"/>
      <c r="D168" s="476"/>
      <c r="E168" s="23">
        <v>666282.91</v>
      </c>
      <c r="F168" s="23">
        <v>400</v>
      </c>
      <c r="H168" s="23">
        <v>0</v>
      </c>
      <c r="J168" s="23">
        <v>666682.91</v>
      </c>
    </row>
    <row r="169" spans="1:10" ht="15.95" customHeight="1" x14ac:dyDescent="0.2">
      <c r="A169" s="27" t="s">
        <v>286</v>
      </c>
      <c r="B169" s="480" t="s">
        <v>287</v>
      </c>
      <c r="C169" s="476"/>
      <c r="D169" s="476"/>
      <c r="E169" s="23">
        <v>1279140.06</v>
      </c>
      <c r="F169" s="23">
        <v>0</v>
      </c>
      <c r="H169" s="23">
        <v>0</v>
      </c>
      <c r="J169" s="23">
        <v>1279140.06</v>
      </c>
    </row>
    <row r="170" spans="1:10" ht="15.95" customHeight="1" x14ac:dyDescent="0.2">
      <c r="A170" s="27" t="s">
        <v>288</v>
      </c>
      <c r="B170" s="480" t="s">
        <v>289</v>
      </c>
      <c r="C170" s="476"/>
      <c r="D170" s="476"/>
      <c r="E170" s="23">
        <v>1259543.1399999999</v>
      </c>
      <c r="F170" s="23">
        <v>0</v>
      </c>
      <c r="H170" s="23">
        <v>0</v>
      </c>
      <c r="J170" s="23">
        <v>1259543.1399999999</v>
      </c>
    </row>
    <row r="171" spans="1:10" ht="15.95" customHeight="1" x14ac:dyDescent="0.2">
      <c r="A171" s="27" t="s">
        <v>290</v>
      </c>
      <c r="B171" s="480" t="s">
        <v>291</v>
      </c>
      <c r="C171" s="476"/>
      <c r="D171" s="476"/>
      <c r="E171" s="23">
        <v>778347.84</v>
      </c>
      <c r="F171" s="23">
        <v>0</v>
      </c>
      <c r="H171" s="23">
        <v>0</v>
      </c>
      <c r="J171" s="23">
        <v>778347.84</v>
      </c>
    </row>
    <row r="172" spans="1:10" ht="15.95" customHeight="1" x14ac:dyDescent="0.2">
      <c r="A172" s="27" t="s">
        <v>292</v>
      </c>
      <c r="B172" s="480" t="s">
        <v>293</v>
      </c>
      <c r="C172" s="476"/>
      <c r="D172" s="476"/>
      <c r="E172" s="23">
        <v>15354</v>
      </c>
      <c r="F172" s="23">
        <v>0</v>
      </c>
      <c r="H172" s="23">
        <v>0</v>
      </c>
      <c r="J172" s="23">
        <v>15354</v>
      </c>
    </row>
    <row r="173" spans="1:10" ht="15.95" customHeight="1" x14ac:dyDescent="0.2">
      <c r="A173" s="27">
        <v>1230102</v>
      </c>
      <c r="B173" s="480" t="s">
        <v>296</v>
      </c>
      <c r="C173" s="476"/>
      <c r="D173" s="476"/>
      <c r="E173" s="23">
        <v>115537342.59999999</v>
      </c>
      <c r="F173" s="23">
        <v>34623941.630000003</v>
      </c>
      <c r="H173" s="23">
        <v>5663856.9400000004</v>
      </c>
      <c r="J173" s="23">
        <v>144497427.28999999</v>
      </c>
    </row>
    <row r="174" spans="1:10" ht="15.95" customHeight="1" x14ac:dyDescent="0.2">
      <c r="A174" s="27" t="s">
        <v>297</v>
      </c>
      <c r="B174" s="480" t="s">
        <v>298</v>
      </c>
      <c r="C174" s="476"/>
      <c r="D174" s="476"/>
      <c r="E174" s="23">
        <v>1770.62</v>
      </c>
      <c r="F174" s="23">
        <v>0</v>
      </c>
      <c r="H174" s="23">
        <v>0</v>
      </c>
      <c r="J174" s="23">
        <v>1770.62</v>
      </c>
    </row>
    <row r="175" spans="1:10" ht="15.95" customHeight="1" x14ac:dyDescent="0.2">
      <c r="A175" s="27" t="s">
        <v>299</v>
      </c>
      <c r="B175" s="480" t="s">
        <v>300</v>
      </c>
      <c r="C175" s="476"/>
      <c r="D175" s="476"/>
      <c r="E175" s="23">
        <v>14979891.75</v>
      </c>
      <c r="F175" s="23">
        <v>0</v>
      </c>
      <c r="H175" s="23">
        <v>609670.02</v>
      </c>
      <c r="J175" s="23">
        <v>14370221.73</v>
      </c>
    </row>
    <row r="176" spans="1:10" ht="15.95" customHeight="1" x14ac:dyDescent="0.2">
      <c r="A176" s="27" t="s">
        <v>301</v>
      </c>
      <c r="B176" s="480" t="s">
        <v>302</v>
      </c>
      <c r="C176" s="476"/>
      <c r="D176" s="476"/>
      <c r="E176" s="23">
        <v>4450.58</v>
      </c>
      <c r="F176" s="23">
        <v>0</v>
      </c>
      <c r="H176" s="23">
        <v>0</v>
      </c>
      <c r="J176" s="23">
        <v>4450.58</v>
      </c>
    </row>
    <row r="177" spans="1:10" ht="15.95" customHeight="1" x14ac:dyDescent="0.2">
      <c r="A177" s="27" t="s">
        <v>303</v>
      </c>
      <c r="B177" s="480" t="s">
        <v>304</v>
      </c>
      <c r="C177" s="476"/>
      <c r="D177" s="476"/>
      <c r="E177" s="23">
        <v>3018715.09</v>
      </c>
      <c r="F177" s="23">
        <v>22053699.48</v>
      </c>
      <c r="H177" s="23">
        <v>1048631.78</v>
      </c>
      <c r="J177" s="23">
        <v>24023782.789999999</v>
      </c>
    </row>
    <row r="178" spans="1:10" ht="15.95" customHeight="1" x14ac:dyDescent="0.2">
      <c r="A178" s="27" t="s">
        <v>305</v>
      </c>
      <c r="B178" s="480" t="s">
        <v>306</v>
      </c>
      <c r="C178" s="476"/>
      <c r="D178" s="476"/>
      <c r="E178" s="23">
        <v>59377048.119999997</v>
      </c>
      <c r="F178" s="23">
        <v>598141.6</v>
      </c>
      <c r="H178" s="23">
        <v>0</v>
      </c>
      <c r="J178" s="23">
        <v>59975189.719999999</v>
      </c>
    </row>
    <row r="179" spans="1:10" ht="27.95" customHeight="1" x14ac:dyDescent="0.2">
      <c r="A179" s="27" t="s">
        <v>307</v>
      </c>
      <c r="B179" s="480" t="s">
        <v>308</v>
      </c>
      <c r="C179" s="476"/>
      <c r="D179" s="476"/>
      <c r="E179" s="23">
        <v>9551045.0299999993</v>
      </c>
      <c r="F179" s="23">
        <v>6900377.1699999999</v>
      </c>
      <c r="H179" s="23">
        <v>0</v>
      </c>
      <c r="J179" s="23">
        <v>16451422.199999999</v>
      </c>
    </row>
    <row r="180" spans="1:10" ht="15.95" customHeight="1" x14ac:dyDescent="0.2">
      <c r="A180" s="484" t="s">
        <v>1446</v>
      </c>
      <c r="B180" s="476"/>
      <c r="C180" s="476"/>
      <c r="D180" s="96" t="s">
        <v>1742</v>
      </c>
      <c r="J180" s="97" t="s">
        <v>1743</v>
      </c>
    </row>
    <row r="181" spans="1:10" ht="20.100000000000001" customHeight="1" x14ac:dyDescent="0.2">
      <c r="A181" s="93" t="s">
        <v>1424</v>
      </c>
      <c r="J181" s="94" t="s">
        <v>1746</v>
      </c>
    </row>
    <row r="182" spans="1:10" ht="15.95" customHeight="1" x14ac:dyDescent="0.2">
      <c r="A182" s="27" t="s">
        <v>1737</v>
      </c>
      <c r="C182" s="27" t="s">
        <v>0</v>
      </c>
      <c r="J182" s="23" t="s">
        <v>1738</v>
      </c>
    </row>
    <row r="183" spans="1:10" ht="14.1" customHeight="1" x14ac:dyDescent="0.2">
      <c r="A183" s="95" t="s">
        <v>1739</v>
      </c>
      <c r="J183" s="23" t="s">
        <v>1740</v>
      </c>
    </row>
    <row r="184" spans="1:10" ht="15" customHeight="1" x14ac:dyDescent="0.2">
      <c r="A184" s="95" t="s">
        <v>1741</v>
      </c>
    </row>
    <row r="185" spans="1:10" ht="23.1" customHeight="1" x14ac:dyDescent="0.2">
      <c r="A185" s="20" t="s">
        <v>55</v>
      </c>
      <c r="B185" s="20" t="s">
        <v>56</v>
      </c>
      <c r="E185" s="21" t="s">
        <v>57</v>
      </c>
      <c r="F185" s="21" t="s">
        <v>58</v>
      </c>
      <c r="H185" s="21" t="s">
        <v>59</v>
      </c>
      <c r="J185" s="21" t="s">
        <v>60</v>
      </c>
    </row>
    <row r="186" spans="1:10" ht="15.95" customHeight="1" x14ac:dyDescent="0.2">
      <c r="A186" s="27" t="s">
        <v>309</v>
      </c>
      <c r="B186" s="480" t="s">
        <v>310</v>
      </c>
      <c r="C186" s="476"/>
      <c r="D186" s="476"/>
      <c r="E186" s="23">
        <v>501889.3</v>
      </c>
      <c r="F186" s="23">
        <v>0</v>
      </c>
      <c r="H186" s="23">
        <v>0</v>
      </c>
      <c r="J186" s="23">
        <v>501889.3</v>
      </c>
    </row>
    <row r="187" spans="1:10" ht="15.95" customHeight="1" x14ac:dyDescent="0.2">
      <c r="A187" s="27" t="s">
        <v>311</v>
      </c>
      <c r="B187" s="480" t="s">
        <v>312</v>
      </c>
      <c r="C187" s="476"/>
      <c r="D187" s="476"/>
      <c r="E187" s="23">
        <v>95202.46</v>
      </c>
      <c r="F187" s="23">
        <v>0</v>
      </c>
      <c r="H187" s="23">
        <v>0</v>
      </c>
      <c r="J187" s="23">
        <v>95202.46</v>
      </c>
    </row>
    <row r="188" spans="1:10" ht="15.95" customHeight="1" x14ac:dyDescent="0.2">
      <c r="A188" s="27" t="s">
        <v>313</v>
      </c>
      <c r="B188" s="480" t="s">
        <v>314</v>
      </c>
      <c r="C188" s="476"/>
      <c r="D188" s="476"/>
      <c r="E188" s="23">
        <v>13925.73</v>
      </c>
      <c r="F188" s="23">
        <v>0</v>
      </c>
      <c r="H188" s="23">
        <v>0</v>
      </c>
      <c r="J188" s="23">
        <v>13925.73</v>
      </c>
    </row>
    <row r="189" spans="1:10" ht="15.95" customHeight="1" x14ac:dyDescent="0.2">
      <c r="A189" s="27" t="s">
        <v>315</v>
      </c>
      <c r="B189" s="480" t="s">
        <v>316</v>
      </c>
      <c r="C189" s="476"/>
      <c r="D189" s="476"/>
      <c r="E189" s="23">
        <v>12484345.49</v>
      </c>
      <c r="F189" s="23">
        <v>0</v>
      </c>
      <c r="H189" s="23">
        <v>0</v>
      </c>
      <c r="J189" s="23">
        <v>12484345.49</v>
      </c>
    </row>
    <row r="190" spans="1:10" ht="15.95" customHeight="1" x14ac:dyDescent="0.2">
      <c r="A190" s="27" t="s">
        <v>317</v>
      </c>
      <c r="B190" s="480" t="s">
        <v>318</v>
      </c>
      <c r="C190" s="476"/>
      <c r="D190" s="476"/>
      <c r="E190" s="23">
        <v>984332.14</v>
      </c>
      <c r="F190" s="23">
        <v>0</v>
      </c>
      <c r="H190" s="23">
        <v>0</v>
      </c>
      <c r="J190" s="23">
        <v>984332.14</v>
      </c>
    </row>
    <row r="191" spans="1:10" ht="15.95" customHeight="1" x14ac:dyDescent="0.2">
      <c r="A191" s="27" t="s">
        <v>319</v>
      </c>
      <c r="B191" s="480" t="s">
        <v>320</v>
      </c>
      <c r="C191" s="476"/>
      <c r="D191" s="476"/>
      <c r="E191" s="23">
        <v>600371.77</v>
      </c>
      <c r="F191" s="23">
        <v>0</v>
      </c>
      <c r="H191" s="23">
        <v>0</v>
      </c>
      <c r="J191" s="23">
        <v>600371.77</v>
      </c>
    </row>
    <row r="192" spans="1:10" ht="15.95" customHeight="1" x14ac:dyDescent="0.2">
      <c r="A192" s="27" t="s">
        <v>321</v>
      </c>
      <c r="B192" s="480" t="s">
        <v>322</v>
      </c>
      <c r="C192" s="476"/>
      <c r="D192" s="476"/>
      <c r="E192" s="23">
        <v>123943.43</v>
      </c>
      <c r="F192" s="23">
        <v>0</v>
      </c>
      <c r="H192" s="23">
        <v>0</v>
      </c>
      <c r="J192" s="23">
        <v>123943.43</v>
      </c>
    </row>
    <row r="193" spans="1:10" ht="15.95" customHeight="1" x14ac:dyDescent="0.2">
      <c r="A193" s="27" t="s">
        <v>323</v>
      </c>
      <c r="B193" s="480" t="s">
        <v>324</v>
      </c>
      <c r="C193" s="476"/>
      <c r="D193" s="476"/>
      <c r="E193" s="23">
        <v>149.38</v>
      </c>
      <c r="F193" s="23">
        <v>0</v>
      </c>
      <c r="H193" s="23">
        <v>0</v>
      </c>
      <c r="J193" s="23">
        <v>149.38</v>
      </c>
    </row>
    <row r="194" spans="1:10" ht="15.95" customHeight="1" x14ac:dyDescent="0.2">
      <c r="A194" s="27" t="s">
        <v>325</v>
      </c>
      <c r="B194" s="480" t="s">
        <v>326</v>
      </c>
      <c r="C194" s="476"/>
      <c r="D194" s="476"/>
      <c r="E194" s="23">
        <v>2942111.51</v>
      </c>
      <c r="F194" s="23">
        <v>0</v>
      </c>
      <c r="H194" s="23">
        <v>0</v>
      </c>
      <c r="J194" s="23">
        <v>2942111.51</v>
      </c>
    </row>
    <row r="195" spans="1:10" ht="15.95" customHeight="1" x14ac:dyDescent="0.2">
      <c r="A195" s="27" t="s">
        <v>327</v>
      </c>
      <c r="B195" s="480" t="s">
        <v>328</v>
      </c>
      <c r="C195" s="476"/>
      <c r="D195" s="476"/>
      <c r="E195" s="23">
        <v>1970.82</v>
      </c>
      <c r="F195" s="23">
        <v>0</v>
      </c>
      <c r="H195" s="23">
        <v>0</v>
      </c>
      <c r="J195" s="23">
        <v>1970.82</v>
      </c>
    </row>
    <row r="196" spans="1:10" ht="15.95" customHeight="1" x14ac:dyDescent="0.2">
      <c r="A196" s="27" t="s">
        <v>329</v>
      </c>
      <c r="B196" s="480" t="s">
        <v>330</v>
      </c>
      <c r="C196" s="476"/>
      <c r="D196" s="476"/>
      <c r="E196" s="23">
        <v>468475.02</v>
      </c>
      <c r="F196" s="23">
        <v>0</v>
      </c>
      <c r="H196" s="23">
        <v>0</v>
      </c>
      <c r="J196" s="23">
        <v>468475.02</v>
      </c>
    </row>
    <row r="197" spans="1:10" ht="15.95" customHeight="1" x14ac:dyDescent="0.2">
      <c r="A197" s="27" t="s">
        <v>331</v>
      </c>
      <c r="B197" s="480" t="s">
        <v>332</v>
      </c>
      <c r="C197" s="476"/>
      <c r="D197" s="476"/>
      <c r="E197" s="23">
        <v>7045901.6699999999</v>
      </c>
      <c r="F197" s="23">
        <v>0</v>
      </c>
      <c r="H197" s="23">
        <v>0</v>
      </c>
      <c r="J197" s="23">
        <v>7045901.6699999999</v>
      </c>
    </row>
    <row r="198" spans="1:10" ht="15.95" customHeight="1" x14ac:dyDescent="0.2">
      <c r="A198" s="27" t="s">
        <v>333</v>
      </c>
      <c r="B198" s="480" t="s">
        <v>334</v>
      </c>
      <c r="C198" s="476"/>
      <c r="D198" s="476"/>
      <c r="E198" s="23">
        <v>1224566.5900000001</v>
      </c>
      <c r="F198" s="23">
        <v>0</v>
      </c>
      <c r="H198" s="23">
        <v>0</v>
      </c>
      <c r="J198" s="23">
        <v>1224566.5900000001</v>
      </c>
    </row>
    <row r="199" spans="1:10" ht="15.95" customHeight="1" x14ac:dyDescent="0.2">
      <c r="A199" s="27" t="s">
        <v>335</v>
      </c>
      <c r="B199" s="480" t="s">
        <v>336</v>
      </c>
      <c r="C199" s="476"/>
      <c r="D199" s="476"/>
      <c r="E199" s="23">
        <v>2117236.1</v>
      </c>
      <c r="F199" s="23">
        <v>0</v>
      </c>
      <c r="H199" s="23">
        <v>0</v>
      </c>
      <c r="J199" s="23">
        <v>2117236.1</v>
      </c>
    </row>
    <row r="200" spans="1:10" ht="15.95" customHeight="1" x14ac:dyDescent="0.2">
      <c r="A200" s="27" t="s">
        <v>337</v>
      </c>
      <c r="B200" s="480" t="s">
        <v>338</v>
      </c>
      <c r="C200" s="476"/>
      <c r="D200" s="476"/>
      <c r="E200" s="23">
        <v>0</v>
      </c>
      <c r="F200" s="23">
        <v>5071723.38</v>
      </c>
      <c r="H200" s="23">
        <v>4005555.14</v>
      </c>
      <c r="J200" s="23">
        <v>1066168.24</v>
      </c>
    </row>
    <row r="201" spans="1:10" ht="15.95" customHeight="1" x14ac:dyDescent="0.2">
      <c r="A201" s="27">
        <v>1230103</v>
      </c>
      <c r="B201" s="480" t="s">
        <v>339</v>
      </c>
      <c r="C201" s="476"/>
      <c r="D201" s="476"/>
      <c r="E201" s="23">
        <v>35013647.759999998</v>
      </c>
      <c r="F201" s="23">
        <v>45646.559999999998</v>
      </c>
      <c r="H201" s="23">
        <v>34025800.030000001</v>
      </c>
      <c r="J201" s="23">
        <v>1033494.29</v>
      </c>
    </row>
    <row r="202" spans="1:10" ht="15.95" customHeight="1" x14ac:dyDescent="0.2">
      <c r="A202" s="27" t="s">
        <v>1483</v>
      </c>
      <c r="B202" s="480" t="s">
        <v>1484</v>
      </c>
      <c r="C202" s="476"/>
      <c r="D202" s="476"/>
      <c r="E202" s="23">
        <v>1432134.18</v>
      </c>
      <c r="F202" s="23">
        <v>0</v>
      </c>
      <c r="H202" s="23">
        <v>1432134.18</v>
      </c>
      <c r="J202" s="23">
        <v>0</v>
      </c>
    </row>
    <row r="203" spans="1:10" ht="15.95" customHeight="1" x14ac:dyDescent="0.2">
      <c r="A203" s="27" t="s">
        <v>1485</v>
      </c>
      <c r="B203" s="480" t="s">
        <v>1486</v>
      </c>
      <c r="C203" s="476"/>
      <c r="D203" s="476"/>
      <c r="E203" s="23">
        <v>5468242.9900000002</v>
      </c>
      <c r="F203" s="23">
        <v>0</v>
      </c>
      <c r="H203" s="23">
        <v>5468242.9900000002</v>
      </c>
      <c r="J203" s="23">
        <v>0</v>
      </c>
    </row>
    <row r="204" spans="1:10" ht="15.95" customHeight="1" x14ac:dyDescent="0.2">
      <c r="A204" s="27" t="s">
        <v>1487</v>
      </c>
      <c r="B204" s="480" t="s">
        <v>1488</v>
      </c>
      <c r="C204" s="476"/>
      <c r="D204" s="476"/>
      <c r="E204" s="23">
        <v>22053699.48</v>
      </c>
      <c r="F204" s="23">
        <v>0</v>
      </c>
      <c r="H204" s="23">
        <v>22053699.48</v>
      </c>
      <c r="J204" s="23">
        <v>0</v>
      </c>
    </row>
    <row r="205" spans="1:10" ht="15.95" customHeight="1" x14ac:dyDescent="0.2">
      <c r="A205" s="27" t="s">
        <v>1489</v>
      </c>
      <c r="B205" s="480" t="s">
        <v>1490</v>
      </c>
      <c r="C205" s="476"/>
      <c r="D205" s="476"/>
      <c r="E205" s="23">
        <v>5071723.38</v>
      </c>
      <c r="F205" s="23">
        <v>0</v>
      </c>
      <c r="H205" s="23">
        <v>5071723.38</v>
      </c>
      <c r="J205" s="23">
        <v>0</v>
      </c>
    </row>
    <row r="206" spans="1:10" ht="15.95" customHeight="1" x14ac:dyDescent="0.2">
      <c r="A206" s="27" t="s">
        <v>340</v>
      </c>
      <c r="B206" s="480" t="s">
        <v>341</v>
      </c>
      <c r="C206" s="476"/>
      <c r="D206" s="476"/>
      <c r="E206" s="23">
        <v>382225.69</v>
      </c>
      <c r="F206" s="23">
        <v>0</v>
      </c>
      <c r="H206" s="23">
        <v>0</v>
      </c>
      <c r="J206" s="23">
        <v>382225.69</v>
      </c>
    </row>
    <row r="207" spans="1:10" ht="15.95" customHeight="1" x14ac:dyDescent="0.2">
      <c r="A207" s="27" t="s">
        <v>1491</v>
      </c>
      <c r="B207" s="480" t="s">
        <v>295</v>
      </c>
      <c r="C207" s="476"/>
      <c r="D207" s="476"/>
      <c r="E207" s="23">
        <v>605622.04</v>
      </c>
      <c r="F207" s="23">
        <v>45646.559999999998</v>
      </c>
      <c r="H207" s="23">
        <v>0</v>
      </c>
      <c r="J207" s="23">
        <v>651268.6</v>
      </c>
    </row>
    <row r="208" spans="1:10" ht="15.95" customHeight="1" x14ac:dyDescent="0.2">
      <c r="A208" s="27">
        <v>1230104</v>
      </c>
      <c r="B208" s="480" t="s">
        <v>342</v>
      </c>
      <c r="C208" s="476"/>
      <c r="D208" s="476"/>
      <c r="E208" s="23">
        <v>1626929.13</v>
      </c>
      <c r="F208" s="23">
        <v>0</v>
      </c>
      <c r="H208" s="23">
        <v>0</v>
      </c>
      <c r="J208" s="23">
        <v>1626929.13</v>
      </c>
    </row>
    <row r="209" spans="1:10" ht="15.95" customHeight="1" x14ac:dyDescent="0.2">
      <c r="A209" s="27" t="s">
        <v>343</v>
      </c>
      <c r="B209" s="480" t="s">
        <v>344</v>
      </c>
      <c r="C209" s="476"/>
      <c r="D209" s="476"/>
      <c r="E209" s="23">
        <v>527833.12</v>
      </c>
      <c r="F209" s="23">
        <v>0</v>
      </c>
      <c r="H209" s="23">
        <v>0</v>
      </c>
      <c r="J209" s="23">
        <v>527833.12</v>
      </c>
    </row>
    <row r="210" spans="1:10" ht="15.95" customHeight="1" x14ac:dyDescent="0.2">
      <c r="A210" s="27" t="s">
        <v>345</v>
      </c>
      <c r="B210" s="480" t="s">
        <v>346</v>
      </c>
      <c r="C210" s="476"/>
      <c r="D210" s="476"/>
      <c r="E210" s="23">
        <v>140000</v>
      </c>
      <c r="F210" s="23">
        <v>0</v>
      </c>
      <c r="H210" s="23">
        <v>0</v>
      </c>
      <c r="J210" s="23">
        <v>140000</v>
      </c>
    </row>
    <row r="211" spans="1:10" ht="15.95" customHeight="1" x14ac:dyDescent="0.2">
      <c r="A211" s="27" t="s">
        <v>347</v>
      </c>
      <c r="B211" s="480" t="s">
        <v>348</v>
      </c>
      <c r="C211" s="476"/>
      <c r="D211" s="476"/>
      <c r="E211" s="23">
        <v>959096.01</v>
      </c>
      <c r="F211" s="23">
        <v>0</v>
      </c>
      <c r="H211" s="23">
        <v>0</v>
      </c>
      <c r="J211" s="23">
        <v>959096.01</v>
      </c>
    </row>
    <row r="212" spans="1:10" ht="15.95" customHeight="1" x14ac:dyDescent="0.2">
      <c r="A212" s="27">
        <v>1230105</v>
      </c>
      <c r="B212" s="480" t="s">
        <v>349</v>
      </c>
      <c r="C212" s="476"/>
      <c r="D212" s="476"/>
      <c r="E212" s="23">
        <v>238454443.41</v>
      </c>
      <c r="F212" s="23">
        <v>0</v>
      </c>
      <c r="H212" s="23">
        <v>0</v>
      </c>
      <c r="J212" s="23">
        <v>238454443.41</v>
      </c>
    </row>
    <row r="213" spans="1:10" ht="15.95" customHeight="1" x14ac:dyDescent="0.2">
      <c r="A213" s="27" t="s">
        <v>350</v>
      </c>
      <c r="B213" s="480" t="s">
        <v>351</v>
      </c>
      <c r="C213" s="476"/>
      <c r="D213" s="476"/>
      <c r="E213" s="23">
        <v>231979697.44</v>
      </c>
      <c r="F213" s="23">
        <v>0</v>
      </c>
      <c r="H213" s="23">
        <v>0</v>
      </c>
      <c r="J213" s="23">
        <v>231979697.44</v>
      </c>
    </row>
    <row r="214" spans="1:10" ht="15.95" customHeight="1" x14ac:dyDescent="0.2">
      <c r="A214" s="27" t="s">
        <v>352</v>
      </c>
      <c r="B214" s="480" t="s">
        <v>353</v>
      </c>
      <c r="C214" s="476"/>
      <c r="D214" s="476"/>
      <c r="E214" s="23">
        <v>1093994.98</v>
      </c>
      <c r="F214" s="23">
        <v>0</v>
      </c>
      <c r="H214" s="23">
        <v>0</v>
      </c>
      <c r="J214" s="23">
        <v>1093994.98</v>
      </c>
    </row>
    <row r="215" spans="1:10" ht="15.95" customHeight="1" x14ac:dyDescent="0.2">
      <c r="A215" s="27" t="s">
        <v>354</v>
      </c>
      <c r="B215" s="480" t="s">
        <v>355</v>
      </c>
      <c r="C215" s="476"/>
      <c r="D215" s="476"/>
      <c r="E215" s="23">
        <v>3533050.99</v>
      </c>
      <c r="F215" s="23">
        <v>0</v>
      </c>
      <c r="H215" s="23">
        <v>0</v>
      </c>
      <c r="J215" s="23">
        <v>3533050.99</v>
      </c>
    </row>
    <row r="216" spans="1:10" ht="15.95" customHeight="1" x14ac:dyDescent="0.2">
      <c r="A216" s="27" t="s">
        <v>356</v>
      </c>
      <c r="B216" s="480" t="s">
        <v>357</v>
      </c>
      <c r="C216" s="476"/>
      <c r="D216" s="476"/>
      <c r="E216" s="23">
        <v>6700</v>
      </c>
      <c r="F216" s="23">
        <v>0</v>
      </c>
      <c r="H216" s="23">
        <v>0</v>
      </c>
      <c r="J216" s="23">
        <v>6700</v>
      </c>
    </row>
    <row r="217" spans="1:10" ht="15.95" customHeight="1" x14ac:dyDescent="0.2">
      <c r="A217" s="27" t="s">
        <v>358</v>
      </c>
      <c r="B217" s="480" t="s">
        <v>359</v>
      </c>
      <c r="C217" s="476"/>
      <c r="D217" s="476"/>
      <c r="E217" s="23">
        <v>1841000</v>
      </c>
      <c r="F217" s="23">
        <v>0</v>
      </c>
      <c r="H217" s="23">
        <v>0</v>
      </c>
      <c r="J217" s="23">
        <v>1841000</v>
      </c>
    </row>
    <row r="218" spans="1:10" ht="15.95" customHeight="1" x14ac:dyDescent="0.2">
      <c r="A218" s="27">
        <v>1230108</v>
      </c>
      <c r="B218" s="480" t="s">
        <v>360</v>
      </c>
      <c r="C218" s="476"/>
      <c r="D218" s="476"/>
      <c r="E218" s="23">
        <v>-2783577.44</v>
      </c>
      <c r="F218" s="23">
        <v>0</v>
      </c>
      <c r="H218" s="23">
        <v>2741051.98</v>
      </c>
      <c r="J218" s="23">
        <v>-5524629.4199999999</v>
      </c>
    </row>
    <row r="219" spans="1:10" ht="15.95" customHeight="1" x14ac:dyDescent="0.2">
      <c r="A219" s="27" t="s">
        <v>361</v>
      </c>
      <c r="B219" s="480" t="s">
        <v>362</v>
      </c>
      <c r="C219" s="476"/>
      <c r="D219" s="476"/>
      <c r="E219" s="23">
        <v>-18424.2</v>
      </c>
      <c r="F219" s="23">
        <v>0</v>
      </c>
      <c r="H219" s="23">
        <v>0</v>
      </c>
      <c r="J219" s="23">
        <v>-18424.2</v>
      </c>
    </row>
    <row r="220" spans="1:10" ht="15.95" customHeight="1" x14ac:dyDescent="0.2">
      <c r="A220" s="27" t="s">
        <v>363</v>
      </c>
      <c r="B220" s="480" t="s">
        <v>364</v>
      </c>
      <c r="C220" s="476"/>
      <c r="D220" s="476"/>
      <c r="E220" s="23">
        <v>-170198.69</v>
      </c>
      <c r="F220" s="23">
        <v>0</v>
      </c>
      <c r="H220" s="23">
        <v>0</v>
      </c>
      <c r="J220" s="23">
        <v>-170198.69</v>
      </c>
    </row>
    <row r="221" spans="1:10" ht="15.95" customHeight="1" x14ac:dyDescent="0.2">
      <c r="A221" s="27" t="s">
        <v>365</v>
      </c>
      <c r="B221" s="480" t="s">
        <v>366</v>
      </c>
      <c r="C221" s="476"/>
      <c r="D221" s="476"/>
      <c r="E221" s="23">
        <v>-23611.29</v>
      </c>
      <c r="F221" s="23">
        <v>0</v>
      </c>
      <c r="H221" s="23">
        <v>0</v>
      </c>
      <c r="J221" s="23">
        <v>-23611.29</v>
      </c>
    </row>
    <row r="222" spans="1:10" ht="15.95" customHeight="1" x14ac:dyDescent="0.2">
      <c r="A222" s="27" t="s">
        <v>367</v>
      </c>
      <c r="B222" s="480" t="s">
        <v>368</v>
      </c>
      <c r="C222" s="476"/>
      <c r="D222" s="476"/>
      <c r="E222" s="23">
        <v>-8308.92</v>
      </c>
      <c r="F222" s="23">
        <v>0</v>
      </c>
      <c r="H222" s="23">
        <v>0</v>
      </c>
      <c r="J222" s="23">
        <v>-8308.92</v>
      </c>
    </row>
    <row r="223" spans="1:10" ht="15.95" customHeight="1" x14ac:dyDescent="0.2">
      <c r="A223" s="27" t="s">
        <v>369</v>
      </c>
      <c r="B223" s="480" t="s">
        <v>370</v>
      </c>
      <c r="C223" s="476"/>
      <c r="D223" s="476"/>
      <c r="E223" s="23">
        <v>-4233.8599999999997</v>
      </c>
      <c r="F223" s="23">
        <v>0</v>
      </c>
      <c r="H223" s="23">
        <v>0</v>
      </c>
      <c r="J223" s="23">
        <v>-4233.8599999999997</v>
      </c>
    </row>
    <row r="224" spans="1:10" ht="15.95" customHeight="1" x14ac:dyDescent="0.2">
      <c r="A224" s="27" t="s">
        <v>371</v>
      </c>
      <c r="B224" s="480" t="s">
        <v>372</v>
      </c>
      <c r="C224" s="476"/>
      <c r="D224" s="476"/>
      <c r="E224" s="23">
        <v>-2729.37</v>
      </c>
      <c r="F224" s="23">
        <v>0</v>
      </c>
      <c r="H224" s="23">
        <v>0</v>
      </c>
      <c r="J224" s="23">
        <v>-2729.37</v>
      </c>
    </row>
    <row r="225" spans="1:10" ht="15.95" customHeight="1" x14ac:dyDescent="0.2">
      <c r="A225" s="27" t="s">
        <v>373</v>
      </c>
      <c r="B225" s="480" t="s">
        <v>374</v>
      </c>
      <c r="C225" s="476"/>
      <c r="D225" s="476"/>
      <c r="E225" s="23">
        <v>-3898.61</v>
      </c>
      <c r="F225" s="23">
        <v>0</v>
      </c>
      <c r="H225" s="23">
        <v>1349888.48</v>
      </c>
      <c r="J225" s="23">
        <v>-1353787.09</v>
      </c>
    </row>
    <row r="226" spans="1:10" ht="15.95" customHeight="1" x14ac:dyDescent="0.2">
      <c r="A226" s="27" t="s">
        <v>375</v>
      </c>
      <c r="B226" s="480" t="s">
        <v>376</v>
      </c>
      <c r="C226" s="476"/>
      <c r="D226" s="476"/>
      <c r="E226" s="23">
        <v>-12754.35</v>
      </c>
      <c r="F226" s="23">
        <v>0</v>
      </c>
      <c r="H226" s="23">
        <v>0</v>
      </c>
      <c r="J226" s="23">
        <v>-12754.35</v>
      </c>
    </row>
    <row r="227" spans="1:10" ht="15.95" customHeight="1" x14ac:dyDescent="0.2">
      <c r="A227" s="27" t="s">
        <v>377</v>
      </c>
      <c r="B227" s="480" t="s">
        <v>378</v>
      </c>
      <c r="C227" s="476"/>
      <c r="D227" s="476"/>
      <c r="E227" s="23">
        <v>-1798587.79</v>
      </c>
      <c r="F227" s="23">
        <v>0</v>
      </c>
      <c r="H227" s="23">
        <v>0</v>
      </c>
      <c r="J227" s="23">
        <v>-1798587.79</v>
      </c>
    </row>
    <row r="228" spans="1:10" ht="15.95" customHeight="1" x14ac:dyDescent="0.2">
      <c r="A228" s="27" t="s">
        <v>379</v>
      </c>
      <c r="B228" s="480" t="s">
        <v>380</v>
      </c>
      <c r="C228" s="476"/>
      <c r="D228" s="476"/>
      <c r="E228" s="23">
        <v>-7928.64</v>
      </c>
      <c r="F228" s="23">
        <v>0</v>
      </c>
      <c r="H228" s="23">
        <v>0</v>
      </c>
      <c r="J228" s="23">
        <v>-7928.64</v>
      </c>
    </row>
    <row r="229" spans="1:10" ht="15.95" customHeight="1" x14ac:dyDescent="0.2">
      <c r="A229" s="27" t="s">
        <v>381</v>
      </c>
      <c r="B229" s="480" t="s">
        <v>382</v>
      </c>
      <c r="C229" s="476"/>
      <c r="D229" s="476"/>
      <c r="E229" s="23">
        <v>-265.91000000000003</v>
      </c>
      <c r="F229" s="23">
        <v>0</v>
      </c>
      <c r="H229" s="23">
        <v>0</v>
      </c>
      <c r="J229" s="23">
        <v>-265.91000000000003</v>
      </c>
    </row>
    <row r="230" spans="1:10" ht="15.95" customHeight="1" x14ac:dyDescent="0.2">
      <c r="A230" s="27" t="s">
        <v>383</v>
      </c>
      <c r="B230" s="480" t="s">
        <v>384</v>
      </c>
      <c r="C230" s="476"/>
      <c r="D230" s="476"/>
      <c r="E230" s="23">
        <v>-87964.72</v>
      </c>
      <c r="F230" s="23">
        <v>0</v>
      </c>
      <c r="H230" s="23">
        <v>0</v>
      </c>
      <c r="J230" s="23">
        <v>-87964.72</v>
      </c>
    </row>
    <row r="231" spans="1:10" ht="15.95" customHeight="1" x14ac:dyDescent="0.2">
      <c r="A231" s="27" t="s">
        <v>385</v>
      </c>
      <c r="B231" s="480" t="s">
        <v>386</v>
      </c>
      <c r="C231" s="476"/>
      <c r="D231" s="476"/>
      <c r="E231" s="23">
        <v>-86928.73</v>
      </c>
      <c r="F231" s="23">
        <v>0</v>
      </c>
      <c r="H231" s="23">
        <v>1221209.32</v>
      </c>
      <c r="J231" s="23">
        <v>-1308138.05</v>
      </c>
    </row>
    <row r="232" spans="1:10" ht="15.95" customHeight="1" x14ac:dyDescent="0.2">
      <c r="A232" s="27" t="s">
        <v>387</v>
      </c>
      <c r="B232" s="480" t="s">
        <v>388</v>
      </c>
      <c r="C232" s="476"/>
      <c r="D232" s="476"/>
      <c r="E232" s="23">
        <v>-5840.17</v>
      </c>
      <c r="F232" s="23">
        <v>0</v>
      </c>
      <c r="H232" s="23">
        <v>0</v>
      </c>
      <c r="J232" s="23">
        <v>-5840.17</v>
      </c>
    </row>
    <row r="233" spans="1:10" ht="15.95" customHeight="1" x14ac:dyDescent="0.2">
      <c r="A233" s="27" t="s">
        <v>389</v>
      </c>
      <c r="B233" s="480" t="s">
        <v>390</v>
      </c>
      <c r="C233" s="476"/>
      <c r="D233" s="476"/>
      <c r="E233" s="23">
        <v>-385902.97</v>
      </c>
      <c r="F233" s="23">
        <v>0</v>
      </c>
      <c r="H233" s="23">
        <v>0</v>
      </c>
      <c r="J233" s="23">
        <v>-385902.97</v>
      </c>
    </row>
    <row r="234" spans="1:10" ht="15.95" customHeight="1" x14ac:dyDescent="0.2">
      <c r="A234" s="27" t="s">
        <v>391</v>
      </c>
      <c r="B234" s="480" t="s">
        <v>392</v>
      </c>
      <c r="C234" s="476"/>
      <c r="D234" s="476"/>
      <c r="E234" s="23">
        <v>-17386.990000000002</v>
      </c>
      <c r="F234" s="23">
        <v>0</v>
      </c>
      <c r="H234" s="23">
        <v>0</v>
      </c>
      <c r="J234" s="23">
        <v>-17386.990000000002</v>
      </c>
    </row>
    <row r="235" spans="1:10" ht="15.95" customHeight="1" x14ac:dyDescent="0.2">
      <c r="A235" s="27" t="s">
        <v>393</v>
      </c>
      <c r="B235" s="480" t="s">
        <v>394</v>
      </c>
      <c r="C235" s="476"/>
      <c r="D235" s="476"/>
      <c r="E235" s="23">
        <v>-56188.26</v>
      </c>
      <c r="F235" s="23">
        <v>0</v>
      </c>
      <c r="H235" s="23">
        <v>0</v>
      </c>
      <c r="J235" s="23">
        <v>-56188.26</v>
      </c>
    </row>
    <row r="236" spans="1:10" ht="15.95" customHeight="1" x14ac:dyDescent="0.2">
      <c r="A236" s="27" t="s">
        <v>395</v>
      </c>
      <c r="B236" s="480" t="s">
        <v>396</v>
      </c>
      <c r="C236" s="476"/>
      <c r="D236" s="476"/>
      <c r="E236" s="23">
        <v>-29270.35</v>
      </c>
      <c r="F236" s="23">
        <v>0</v>
      </c>
      <c r="H236" s="23">
        <v>0</v>
      </c>
      <c r="J236" s="23">
        <v>-29270.35</v>
      </c>
    </row>
    <row r="237" spans="1:10" ht="15.95" customHeight="1" x14ac:dyDescent="0.2">
      <c r="A237" s="27" t="s">
        <v>397</v>
      </c>
      <c r="B237" s="480" t="s">
        <v>398</v>
      </c>
      <c r="C237" s="476"/>
      <c r="D237" s="476"/>
      <c r="E237" s="23">
        <v>-63153.62</v>
      </c>
      <c r="F237" s="23">
        <v>0</v>
      </c>
      <c r="H237" s="23">
        <v>169954.18</v>
      </c>
      <c r="J237" s="23">
        <v>-233107.8</v>
      </c>
    </row>
    <row r="238" spans="1:10" ht="15.95" customHeight="1" x14ac:dyDescent="0.2">
      <c r="A238" s="27">
        <v>12399</v>
      </c>
      <c r="B238" s="480" t="s">
        <v>399</v>
      </c>
      <c r="C238" s="476"/>
      <c r="D238" s="476"/>
      <c r="E238" s="23">
        <v>-80654700.329999998</v>
      </c>
      <c r="F238" s="23">
        <v>1498862.1</v>
      </c>
      <c r="H238" s="23">
        <v>7088277.5199999996</v>
      </c>
      <c r="J238" s="23">
        <v>-86244115.75</v>
      </c>
    </row>
    <row r="239" spans="1:10" ht="27.95" customHeight="1" x14ac:dyDescent="0.2">
      <c r="A239" s="27">
        <v>1239901</v>
      </c>
      <c r="B239" s="480" t="s">
        <v>400</v>
      </c>
      <c r="C239" s="476"/>
      <c r="D239" s="476"/>
      <c r="E239" s="23">
        <v>-5544334.4400000004</v>
      </c>
      <c r="F239" s="23">
        <v>0</v>
      </c>
      <c r="H239" s="23">
        <v>597331.81999999995</v>
      </c>
      <c r="J239" s="23">
        <v>-6141666.2599999998</v>
      </c>
    </row>
    <row r="240" spans="1:10" ht="15.95" customHeight="1" x14ac:dyDescent="0.2">
      <c r="A240" s="484" t="s">
        <v>1446</v>
      </c>
      <c r="B240" s="476"/>
      <c r="C240" s="476"/>
      <c r="D240" s="96" t="s">
        <v>1742</v>
      </c>
      <c r="J240" s="97" t="s">
        <v>1743</v>
      </c>
    </row>
    <row r="241" spans="1:10" ht="20.100000000000001" customHeight="1" x14ac:dyDescent="0.2">
      <c r="A241" s="93" t="s">
        <v>1424</v>
      </c>
      <c r="J241" s="94" t="s">
        <v>1747</v>
      </c>
    </row>
    <row r="242" spans="1:10" ht="15.95" customHeight="1" x14ac:dyDescent="0.2">
      <c r="A242" s="27" t="s">
        <v>1737</v>
      </c>
      <c r="C242" s="27" t="s">
        <v>0</v>
      </c>
      <c r="J242" s="23" t="s">
        <v>1738</v>
      </c>
    </row>
    <row r="243" spans="1:10" ht="14.1" customHeight="1" x14ac:dyDescent="0.2">
      <c r="A243" s="95" t="s">
        <v>1739</v>
      </c>
      <c r="J243" s="23" t="s">
        <v>1740</v>
      </c>
    </row>
    <row r="244" spans="1:10" ht="15" customHeight="1" x14ac:dyDescent="0.2">
      <c r="A244" s="95" t="s">
        <v>1741</v>
      </c>
    </row>
    <row r="245" spans="1:10" ht="23.1" customHeight="1" x14ac:dyDescent="0.2">
      <c r="A245" s="20" t="s">
        <v>55</v>
      </c>
      <c r="B245" s="20" t="s">
        <v>56</v>
      </c>
      <c r="E245" s="21" t="s">
        <v>57</v>
      </c>
      <c r="F245" s="21" t="s">
        <v>58</v>
      </c>
      <c r="H245" s="21" t="s">
        <v>59</v>
      </c>
      <c r="J245" s="21" t="s">
        <v>60</v>
      </c>
    </row>
    <row r="246" spans="1:10" ht="15.95" customHeight="1" x14ac:dyDescent="0.2">
      <c r="A246" s="27" t="s">
        <v>401</v>
      </c>
      <c r="B246" s="480" t="s">
        <v>277</v>
      </c>
      <c r="C246" s="476"/>
      <c r="D246" s="476"/>
      <c r="E246" s="23">
        <v>-63204.99</v>
      </c>
      <c r="F246" s="23">
        <v>0</v>
      </c>
      <c r="H246" s="23">
        <v>277.2</v>
      </c>
      <c r="J246" s="23">
        <v>-63482.19</v>
      </c>
    </row>
    <row r="247" spans="1:10" ht="15.95" customHeight="1" x14ac:dyDescent="0.2">
      <c r="A247" s="27" t="s">
        <v>402</v>
      </c>
      <c r="B247" s="480" t="s">
        <v>279</v>
      </c>
      <c r="C247" s="476"/>
      <c r="D247" s="476"/>
      <c r="E247" s="23">
        <v>-12832.06</v>
      </c>
      <c r="F247" s="23">
        <v>0</v>
      </c>
      <c r="H247" s="23">
        <v>0</v>
      </c>
      <c r="J247" s="23">
        <v>-12832.06</v>
      </c>
    </row>
    <row r="248" spans="1:10" ht="15.95" customHeight="1" x14ac:dyDescent="0.2">
      <c r="A248" s="27" t="s">
        <v>403</v>
      </c>
      <c r="B248" s="480" t="s">
        <v>281</v>
      </c>
      <c r="C248" s="476"/>
      <c r="D248" s="476"/>
      <c r="E248" s="23">
        <v>-932954.94</v>
      </c>
      <c r="F248" s="23">
        <v>0</v>
      </c>
      <c r="H248" s="23">
        <v>58274.879999999997</v>
      </c>
      <c r="J248" s="23">
        <v>-991229.82</v>
      </c>
    </row>
    <row r="249" spans="1:10" ht="15.95" customHeight="1" x14ac:dyDescent="0.2">
      <c r="A249" s="27" t="s">
        <v>404</v>
      </c>
      <c r="B249" s="480" t="s">
        <v>283</v>
      </c>
      <c r="C249" s="476"/>
      <c r="D249" s="476"/>
      <c r="E249" s="23">
        <v>-2033449.65</v>
      </c>
      <c r="F249" s="23">
        <v>0</v>
      </c>
      <c r="H249" s="23">
        <v>484436.52</v>
      </c>
      <c r="J249" s="23">
        <v>-2517886.17</v>
      </c>
    </row>
    <row r="250" spans="1:10" ht="15.95" customHeight="1" x14ac:dyDescent="0.2">
      <c r="A250" s="27" t="s">
        <v>405</v>
      </c>
      <c r="B250" s="480" t="s">
        <v>285</v>
      </c>
      <c r="C250" s="476"/>
      <c r="D250" s="476"/>
      <c r="E250" s="23">
        <v>-600214.14</v>
      </c>
      <c r="F250" s="23">
        <v>0</v>
      </c>
      <c r="H250" s="23">
        <v>9829.2199999999993</v>
      </c>
      <c r="J250" s="23">
        <v>-610043.36</v>
      </c>
    </row>
    <row r="251" spans="1:10" ht="15.95" customHeight="1" x14ac:dyDescent="0.2">
      <c r="A251" s="27" t="s">
        <v>406</v>
      </c>
      <c r="B251" s="480" t="s">
        <v>289</v>
      </c>
      <c r="C251" s="476"/>
      <c r="D251" s="476"/>
      <c r="E251" s="23">
        <v>-1210095.1200000001</v>
      </c>
      <c r="F251" s="23">
        <v>0</v>
      </c>
      <c r="H251" s="23">
        <v>9568.3799999999992</v>
      </c>
      <c r="J251" s="23">
        <v>-1219663.5</v>
      </c>
    </row>
    <row r="252" spans="1:10" ht="15.95" customHeight="1" x14ac:dyDescent="0.2">
      <c r="A252" s="27" t="s">
        <v>407</v>
      </c>
      <c r="B252" s="480" t="s">
        <v>287</v>
      </c>
      <c r="C252" s="476"/>
      <c r="D252" s="476"/>
      <c r="E252" s="23">
        <v>-65426.16</v>
      </c>
      <c r="F252" s="23">
        <v>0</v>
      </c>
      <c r="H252" s="23">
        <v>5380.2</v>
      </c>
      <c r="J252" s="23">
        <v>-70806.36</v>
      </c>
    </row>
    <row r="253" spans="1:10" ht="15.95" customHeight="1" x14ac:dyDescent="0.2">
      <c r="A253" s="27" t="s">
        <v>408</v>
      </c>
      <c r="B253" s="480" t="s">
        <v>291</v>
      </c>
      <c r="C253" s="476"/>
      <c r="D253" s="476"/>
      <c r="E253" s="23">
        <v>-616628.28</v>
      </c>
      <c r="F253" s="23">
        <v>0</v>
      </c>
      <c r="H253" s="23">
        <v>28919.16</v>
      </c>
      <c r="J253" s="23">
        <v>-645547.43999999994</v>
      </c>
    </row>
    <row r="254" spans="1:10" ht="15.95" customHeight="1" x14ac:dyDescent="0.2">
      <c r="A254" s="27" t="s">
        <v>409</v>
      </c>
      <c r="B254" s="480" t="s">
        <v>410</v>
      </c>
      <c r="C254" s="476"/>
      <c r="D254" s="476"/>
      <c r="E254" s="23">
        <v>-9529.1</v>
      </c>
      <c r="F254" s="23">
        <v>0</v>
      </c>
      <c r="H254" s="23">
        <v>646.26</v>
      </c>
      <c r="J254" s="23">
        <v>-10175.36</v>
      </c>
    </row>
    <row r="255" spans="1:10" ht="15.95" customHeight="1" x14ac:dyDescent="0.2">
      <c r="A255" s="27">
        <v>1239902</v>
      </c>
      <c r="B255" s="480" t="s">
        <v>412</v>
      </c>
      <c r="C255" s="476"/>
      <c r="D255" s="476"/>
      <c r="E255" s="23">
        <v>-60198719.740000002</v>
      </c>
      <c r="F255" s="23">
        <v>1113623.3999999999</v>
      </c>
      <c r="H255" s="23">
        <v>1527281.66</v>
      </c>
      <c r="J255" s="23">
        <v>-60612378</v>
      </c>
    </row>
    <row r="256" spans="1:10" ht="15.95" customHeight="1" x14ac:dyDescent="0.2">
      <c r="A256" s="27" t="s">
        <v>413</v>
      </c>
      <c r="B256" s="480" t="s">
        <v>300</v>
      </c>
      <c r="C256" s="476"/>
      <c r="D256" s="476"/>
      <c r="E256" s="23">
        <v>-6578848.4299999997</v>
      </c>
      <c r="F256" s="23">
        <v>207691.87</v>
      </c>
      <c r="H256" s="23">
        <v>241356.35</v>
      </c>
      <c r="J256" s="23">
        <v>-6612512.9100000001</v>
      </c>
    </row>
    <row r="257" spans="1:10" ht="15.95" customHeight="1" x14ac:dyDescent="0.2">
      <c r="A257" s="27" t="s">
        <v>414</v>
      </c>
      <c r="B257" s="480" t="s">
        <v>302</v>
      </c>
      <c r="C257" s="476"/>
      <c r="D257" s="476"/>
      <c r="E257" s="23">
        <v>-4450.58</v>
      </c>
      <c r="F257" s="23">
        <v>0</v>
      </c>
      <c r="H257" s="23">
        <v>0</v>
      </c>
      <c r="J257" s="23">
        <v>-4450.58</v>
      </c>
    </row>
    <row r="258" spans="1:10" ht="15.95" customHeight="1" x14ac:dyDescent="0.2">
      <c r="A258" s="27" t="s">
        <v>415</v>
      </c>
      <c r="B258" s="480" t="s">
        <v>304</v>
      </c>
      <c r="C258" s="476"/>
      <c r="D258" s="476"/>
      <c r="E258" s="23">
        <v>-1300291.02</v>
      </c>
      <c r="F258" s="23">
        <v>905931.53</v>
      </c>
      <c r="H258" s="23">
        <v>100345.25</v>
      </c>
      <c r="J258" s="23">
        <v>-494704.74</v>
      </c>
    </row>
    <row r="259" spans="1:10" ht="15.95" customHeight="1" x14ac:dyDescent="0.2">
      <c r="A259" s="27" t="s">
        <v>416</v>
      </c>
      <c r="B259" s="480" t="s">
        <v>306</v>
      </c>
      <c r="C259" s="476"/>
      <c r="D259" s="476"/>
      <c r="E259" s="23">
        <v>-33066566.010000002</v>
      </c>
      <c r="F259" s="23">
        <v>0</v>
      </c>
      <c r="H259" s="23">
        <v>747210.81</v>
      </c>
      <c r="J259" s="23">
        <v>-33813776.82</v>
      </c>
    </row>
    <row r="260" spans="1:10" ht="15.95" customHeight="1" x14ac:dyDescent="0.2">
      <c r="A260" s="27" t="s">
        <v>417</v>
      </c>
      <c r="B260" s="480" t="s">
        <v>308</v>
      </c>
      <c r="C260" s="476"/>
      <c r="D260" s="476"/>
      <c r="E260" s="23">
        <v>-9551045.0299999993</v>
      </c>
      <c r="F260" s="23">
        <v>0</v>
      </c>
      <c r="H260" s="23">
        <v>57503.14</v>
      </c>
      <c r="J260" s="23">
        <v>-9608548.1699999999</v>
      </c>
    </row>
    <row r="261" spans="1:10" ht="15.95" customHeight="1" x14ac:dyDescent="0.2">
      <c r="A261" s="27" t="s">
        <v>418</v>
      </c>
      <c r="B261" s="480" t="s">
        <v>310</v>
      </c>
      <c r="C261" s="476"/>
      <c r="D261" s="476"/>
      <c r="E261" s="23">
        <v>-440226.98</v>
      </c>
      <c r="F261" s="23">
        <v>0</v>
      </c>
      <c r="H261" s="23">
        <v>11365.8</v>
      </c>
      <c r="J261" s="23">
        <v>-451592.78</v>
      </c>
    </row>
    <row r="262" spans="1:10" ht="15.95" customHeight="1" x14ac:dyDescent="0.2">
      <c r="A262" s="27" t="s">
        <v>419</v>
      </c>
      <c r="B262" s="480" t="s">
        <v>312</v>
      </c>
      <c r="C262" s="476"/>
      <c r="D262" s="476"/>
      <c r="E262" s="23">
        <v>-95202.46</v>
      </c>
      <c r="F262" s="23">
        <v>0</v>
      </c>
      <c r="H262" s="23">
        <v>0</v>
      </c>
      <c r="J262" s="23">
        <v>-95202.46</v>
      </c>
    </row>
    <row r="263" spans="1:10" ht="15.95" customHeight="1" x14ac:dyDescent="0.2">
      <c r="A263" s="27" t="s">
        <v>420</v>
      </c>
      <c r="B263" s="480" t="s">
        <v>316</v>
      </c>
      <c r="C263" s="476"/>
      <c r="D263" s="476"/>
      <c r="E263" s="23">
        <v>-5355122.28</v>
      </c>
      <c r="F263" s="23">
        <v>0</v>
      </c>
      <c r="H263" s="23">
        <v>209742.84</v>
      </c>
      <c r="J263" s="23">
        <v>-5564865.1200000001</v>
      </c>
    </row>
    <row r="264" spans="1:10" ht="15.95" customHeight="1" x14ac:dyDescent="0.2">
      <c r="A264" s="27" t="s">
        <v>421</v>
      </c>
      <c r="B264" s="480" t="s">
        <v>318</v>
      </c>
      <c r="C264" s="476"/>
      <c r="D264" s="476"/>
      <c r="E264" s="23">
        <v>-905338.24</v>
      </c>
      <c r="F264" s="23">
        <v>0</v>
      </c>
      <c r="H264" s="23">
        <v>0</v>
      </c>
      <c r="J264" s="23">
        <v>-905338.24</v>
      </c>
    </row>
    <row r="265" spans="1:10" ht="15.95" customHeight="1" x14ac:dyDescent="0.2">
      <c r="A265" s="27" t="s">
        <v>422</v>
      </c>
      <c r="B265" s="480" t="s">
        <v>320</v>
      </c>
      <c r="C265" s="476"/>
      <c r="D265" s="476"/>
      <c r="E265" s="23">
        <v>-350775.54</v>
      </c>
      <c r="F265" s="23">
        <v>0</v>
      </c>
      <c r="H265" s="23">
        <v>24212.91</v>
      </c>
      <c r="J265" s="23">
        <v>-374988.45</v>
      </c>
    </row>
    <row r="266" spans="1:10" ht="15.95" customHeight="1" x14ac:dyDescent="0.2">
      <c r="A266" s="27" t="s">
        <v>423</v>
      </c>
      <c r="B266" s="480" t="s">
        <v>322</v>
      </c>
      <c r="C266" s="476"/>
      <c r="D266" s="476"/>
      <c r="E266" s="23">
        <v>-123943.43</v>
      </c>
      <c r="F266" s="23">
        <v>0</v>
      </c>
      <c r="H266" s="23">
        <v>0</v>
      </c>
      <c r="J266" s="23">
        <v>-123943.43</v>
      </c>
    </row>
    <row r="267" spans="1:10" ht="15.95" customHeight="1" x14ac:dyDescent="0.2">
      <c r="A267" s="27" t="s">
        <v>424</v>
      </c>
      <c r="B267" s="480" t="s">
        <v>425</v>
      </c>
      <c r="C267" s="476"/>
      <c r="D267" s="476"/>
      <c r="E267" s="23">
        <v>-13925.73</v>
      </c>
      <c r="F267" s="23">
        <v>0</v>
      </c>
      <c r="H267" s="23">
        <v>0</v>
      </c>
      <c r="J267" s="23">
        <v>-13925.73</v>
      </c>
    </row>
    <row r="268" spans="1:10" ht="15.95" customHeight="1" x14ac:dyDescent="0.2">
      <c r="A268" s="27" t="s">
        <v>426</v>
      </c>
      <c r="B268" s="480" t="s">
        <v>427</v>
      </c>
      <c r="C268" s="476"/>
      <c r="D268" s="476"/>
      <c r="E268" s="23">
        <v>-1970.82</v>
      </c>
      <c r="F268" s="23">
        <v>0</v>
      </c>
      <c r="H268" s="23">
        <v>0</v>
      </c>
      <c r="J268" s="23">
        <v>-1970.82</v>
      </c>
    </row>
    <row r="269" spans="1:10" ht="15.95" customHeight="1" x14ac:dyDescent="0.2">
      <c r="A269" s="27" t="s">
        <v>428</v>
      </c>
      <c r="B269" s="480" t="s">
        <v>429</v>
      </c>
      <c r="C269" s="476"/>
      <c r="D269" s="476"/>
      <c r="E269" s="23">
        <v>-421500.65</v>
      </c>
      <c r="F269" s="23">
        <v>0</v>
      </c>
      <c r="H269" s="23">
        <v>21035.040000000001</v>
      </c>
      <c r="J269" s="23">
        <v>-442535.69</v>
      </c>
    </row>
    <row r="270" spans="1:10" ht="15.95" customHeight="1" x14ac:dyDescent="0.2">
      <c r="A270" s="27" t="s">
        <v>430</v>
      </c>
      <c r="B270" s="480" t="s">
        <v>431</v>
      </c>
      <c r="C270" s="476"/>
      <c r="D270" s="476"/>
      <c r="E270" s="23">
        <v>-1103943.46</v>
      </c>
      <c r="F270" s="23">
        <v>0</v>
      </c>
      <c r="H270" s="23">
        <v>18544.919999999998</v>
      </c>
      <c r="J270" s="23">
        <v>-1122488.3799999999</v>
      </c>
    </row>
    <row r="271" spans="1:10" ht="15.95" customHeight="1" x14ac:dyDescent="0.2">
      <c r="A271" s="27" t="s">
        <v>432</v>
      </c>
      <c r="B271" s="480" t="s">
        <v>336</v>
      </c>
      <c r="C271" s="476"/>
      <c r="D271" s="476"/>
      <c r="E271" s="23">
        <v>-885569.08</v>
      </c>
      <c r="F271" s="23">
        <v>0</v>
      </c>
      <c r="H271" s="23">
        <v>78195.149999999994</v>
      </c>
      <c r="J271" s="23">
        <v>-963764.23</v>
      </c>
    </row>
    <row r="272" spans="1:10" ht="15.95" customHeight="1" x14ac:dyDescent="0.2">
      <c r="A272" s="27" t="s">
        <v>433</v>
      </c>
      <c r="B272" s="480" t="s">
        <v>338</v>
      </c>
      <c r="C272" s="476"/>
      <c r="D272" s="476"/>
      <c r="E272" s="23">
        <v>0</v>
      </c>
      <c r="F272" s="23">
        <v>0</v>
      </c>
      <c r="H272" s="23">
        <v>17769.45</v>
      </c>
      <c r="J272" s="23">
        <v>-17769.45</v>
      </c>
    </row>
    <row r="273" spans="1:10" ht="15.95" customHeight="1" x14ac:dyDescent="0.2">
      <c r="A273" s="27">
        <v>1239903</v>
      </c>
      <c r="B273" s="480" t="s">
        <v>434</v>
      </c>
      <c r="C273" s="476"/>
      <c r="D273" s="476"/>
      <c r="E273" s="23">
        <v>5763425.5899999999</v>
      </c>
      <c r="F273" s="23">
        <v>385238.7</v>
      </c>
      <c r="H273" s="23">
        <v>0</v>
      </c>
      <c r="J273" s="23">
        <v>6148664.29</v>
      </c>
    </row>
    <row r="274" spans="1:10" ht="15.95" customHeight="1" x14ac:dyDescent="0.2">
      <c r="A274" s="27" t="s">
        <v>435</v>
      </c>
      <c r="B274" s="480" t="s">
        <v>300</v>
      </c>
      <c r="C274" s="476"/>
      <c r="D274" s="476"/>
      <c r="E274" s="23">
        <v>1371149.47</v>
      </c>
      <c r="F274" s="23">
        <v>117122.69</v>
      </c>
      <c r="H274" s="23">
        <v>0</v>
      </c>
      <c r="J274" s="23">
        <v>1488272.16</v>
      </c>
    </row>
    <row r="275" spans="1:10" ht="15.95" customHeight="1" x14ac:dyDescent="0.2">
      <c r="A275" s="27" t="s">
        <v>436</v>
      </c>
      <c r="B275" s="480" t="s">
        <v>304</v>
      </c>
      <c r="C275" s="476"/>
      <c r="D275" s="476"/>
      <c r="E275" s="23">
        <v>107014.75</v>
      </c>
      <c r="F275" s="23">
        <v>18850.75</v>
      </c>
      <c r="H275" s="23">
        <v>0</v>
      </c>
      <c r="J275" s="23">
        <v>125865.5</v>
      </c>
    </row>
    <row r="276" spans="1:10" ht="15.95" customHeight="1" x14ac:dyDescent="0.2">
      <c r="A276" s="27" t="s">
        <v>437</v>
      </c>
      <c r="B276" s="480" t="s">
        <v>306</v>
      </c>
      <c r="C276" s="476"/>
      <c r="D276" s="476"/>
      <c r="E276" s="23">
        <v>4269610.88</v>
      </c>
      <c r="F276" s="23">
        <v>249265.26</v>
      </c>
      <c r="H276" s="23">
        <v>0</v>
      </c>
      <c r="J276" s="23">
        <v>4518876.1399999997</v>
      </c>
    </row>
    <row r="277" spans="1:10" ht="15.95" customHeight="1" x14ac:dyDescent="0.2">
      <c r="A277" s="27" t="s">
        <v>438</v>
      </c>
      <c r="B277" s="480" t="s">
        <v>318</v>
      </c>
      <c r="C277" s="476"/>
      <c r="D277" s="476"/>
      <c r="E277" s="23">
        <v>15650.49</v>
      </c>
      <c r="F277" s="23">
        <v>0</v>
      </c>
      <c r="H277" s="23">
        <v>0</v>
      </c>
      <c r="J277" s="23">
        <v>15650.49</v>
      </c>
    </row>
    <row r="278" spans="1:10" ht="15.95" customHeight="1" x14ac:dyDescent="0.2">
      <c r="A278" s="27">
        <v>1239904</v>
      </c>
      <c r="B278" s="480" t="s">
        <v>439</v>
      </c>
      <c r="C278" s="476"/>
      <c r="D278" s="476"/>
      <c r="E278" s="23">
        <v>-20675071.739999998</v>
      </c>
      <c r="F278" s="23">
        <v>0</v>
      </c>
      <c r="H278" s="23">
        <v>4963664.04</v>
      </c>
      <c r="J278" s="23">
        <v>-25638735.780000001</v>
      </c>
    </row>
    <row r="279" spans="1:10" ht="15.95" customHeight="1" x14ac:dyDescent="0.2">
      <c r="A279" s="27" t="s">
        <v>440</v>
      </c>
      <c r="B279" s="480" t="s">
        <v>441</v>
      </c>
      <c r="C279" s="476"/>
      <c r="D279" s="476"/>
      <c r="E279" s="23">
        <v>-19324779.989999998</v>
      </c>
      <c r="F279" s="23">
        <v>0</v>
      </c>
      <c r="H279" s="23">
        <v>4639594.0199999996</v>
      </c>
      <c r="J279" s="23">
        <v>-23964374.010000002</v>
      </c>
    </row>
    <row r="280" spans="1:10" ht="15.95" customHeight="1" x14ac:dyDescent="0.2">
      <c r="A280" s="27" t="s">
        <v>442</v>
      </c>
      <c r="B280" s="480" t="s">
        <v>443</v>
      </c>
      <c r="C280" s="476"/>
      <c r="D280" s="476"/>
      <c r="E280" s="23">
        <v>-227912.5</v>
      </c>
      <c r="F280" s="23">
        <v>0</v>
      </c>
      <c r="H280" s="23">
        <v>54699</v>
      </c>
      <c r="J280" s="23">
        <v>-282611.5</v>
      </c>
    </row>
    <row r="281" spans="1:10" ht="15.95" customHeight="1" x14ac:dyDescent="0.2">
      <c r="A281" s="27" t="s">
        <v>444</v>
      </c>
      <c r="B281" s="480" t="s">
        <v>355</v>
      </c>
      <c r="C281" s="476"/>
      <c r="D281" s="476"/>
      <c r="E281" s="23">
        <v>-736053.25</v>
      </c>
      <c r="F281" s="23">
        <v>0</v>
      </c>
      <c r="H281" s="23">
        <v>176652.78</v>
      </c>
      <c r="J281" s="23">
        <v>-912706.03</v>
      </c>
    </row>
    <row r="282" spans="1:10" ht="15.95" customHeight="1" x14ac:dyDescent="0.2">
      <c r="A282" s="27" t="s">
        <v>445</v>
      </c>
      <c r="B282" s="480" t="s">
        <v>357</v>
      </c>
      <c r="C282" s="476"/>
      <c r="D282" s="476"/>
      <c r="E282" s="23">
        <v>-2787.5</v>
      </c>
      <c r="F282" s="23">
        <v>0</v>
      </c>
      <c r="H282" s="23">
        <v>669</v>
      </c>
      <c r="J282" s="23">
        <v>-3456.5</v>
      </c>
    </row>
    <row r="283" spans="1:10" ht="15.95" customHeight="1" x14ac:dyDescent="0.2">
      <c r="A283" s="27" t="s">
        <v>446</v>
      </c>
      <c r="B283" s="480" t="s">
        <v>447</v>
      </c>
      <c r="C283" s="476"/>
      <c r="D283" s="476"/>
      <c r="E283" s="23">
        <v>-383538.5</v>
      </c>
      <c r="F283" s="23">
        <v>0</v>
      </c>
      <c r="H283" s="23">
        <v>92049.24</v>
      </c>
      <c r="J283" s="23">
        <v>-475587.74</v>
      </c>
    </row>
    <row r="284" spans="1:10" ht="15.95" customHeight="1" x14ac:dyDescent="0.2">
      <c r="A284" s="27">
        <v>124</v>
      </c>
      <c r="B284" s="480" t="s">
        <v>448</v>
      </c>
      <c r="C284" s="476"/>
      <c r="D284" s="476"/>
      <c r="E284" s="23">
        <v>2190000</v>
      </c>
      <c r="F284" s="23">
        <v>0</v>
      </c>
      <c r="H284" s="23">
        <v>628297.85</v>
      </c>
      <c r="J284" s="23">
        <v>1561702.15</v>
      </c>
    </row>
    <row r="285" spans="1:10" ht="15.95" customHeight="1" x14ac:dyDescent="0.2">
      <c r="A285" s="27">
        <v>12401</v>
      </c>
      <c r="B285" s="480" t="s">
        <v>448</v>
      </c>
      <c r="C285" s="476"/>
      <c r="D285" s="476"/>
      <c r="E285" s="23">
        <v>7519654.9800000004</v>
      </c>
      <c r="F285" s="23">
        <v>0</v>
      </c>
      <c r="H285" s="23">
        <v>0</v>
      </c>
      <c r="J285" s="23">
        <v>7519654.9800000004</v>
      </c>
    </row>
    <row r="286" spans="1:10" ht="15.95" customHeight="1" x14ac:dyDescent="0.2">
      <c r="A286" s="27">
        <v>1240101</v>
      </c>
      <c r="B286" s="480" t="s">
        <v>448</v>
      </c>
      <c r="C286" s="476"/>
      <c r="D286" s="476"/>
      <c r="E286" s="23">
        <v>7519654.9800000004</v>
      </c>
      <c r="F286" s="23">
        <v>0</v>
      </c>
      <c r="H286" s="23">
        <v>0</v>
      </c>
      <c r="J286" s="23">
        <v>7519654.9800000004</v>
      </c>
    </row>
    <row r="287" spans="1:10" ht="15.95" customHeight="1" x14ac:dyDescent="0.2">
      <c r="A287" s="27" t="s">
        <v>449</v>
      </c>
      <c r="B287" s="480" t="s">
        <v>450</v>
      </c>
      <c r="C287" s="476"/>
      <c r="D287" s="476"/>
      <c r="E287" s="23">
        <v>7519654.9800000004</v>
      </c>
      <c r="F287" s="23">
        <v>0</v>
      </c>
      <c r="H287" s="23">
        <v>0</v>
      </c>
      <c r="J287" s="23">
        <v>7519654.9800000004</v>
      </c>
    </row>
    <row r="288" spans="1:10" ht="15.95" customHeight="1" x14ac:dyDescent="0.2">
      <c r="A288" s="27">
        <v>12499</v>
      </c>
      <c r="B288" s="480" t="s">
        <v>451</v>
      </c>
      <c r="C288" s="476"/>
      <c r="D288" s="476"/>
      <c r="E288" s="23">
        <v>-5329654.9800000004</v>
      </c>
      <c r="F288" s="23">
        <v>0</v>
      </c>
      <c r="H288" s="23">
        <v>628297.85</v>
      </c>
      <c r="J288" s="23">
        <v>-5957952.8300000001</v>
      </c>
    </row>
    <row r="289" spans="1:10" ht="15.95" customHeight="1" x14ac:dyDescent="0.2">
      <c r="A289" s="27">
        <v>1249901</v>
      </c>
      <c r="B289" s="480" t="s">
        <v>451</v>
      </c>
      <c r="C289" s="476"/>
      <c r="D289" s="476"/>
      <c r="E289" s="23">
        <v>-5328125.7</v>
      </c>
      <c r="F289" s="23">
        <v>0</v>
      </c>
      <c r="H289" s="23">
        <v>628297.85</v>
      </c>
      <c r="J289" s="23">
        <v>-5956423.5499999998</v>
      </c>
    </row>
    <row r="290" spans="1:10" ht="15.95" customHeight="1" x14ac:dyDescent="0.2">
      <c r="A290" s="27" t="s">
        <v>452</v>
      </c>
      <c r="B290" s="480" t="s">
        <v>450</v>
      </c>
      <c r="C290" s="476"/>
      <c r="D290" s="476"/>
      <c r="E290" s="23">
        <v>-5328125.7</v>
      </c>
      <c r="F290" s="23">
        <v>0</v>
      </c>
      <c r="H290" s="23">
        <v>628297.85</v>
      </c>
      <c r="J290" s="23">
        <v>-5956423.5499999998</v>
      </c>
    </row>
    <row r="291" spans="1:10" ht="15.95" customHeight="1" x14ac:dyDescent="0.2">
      <c r="A291" s="27">
        <v>1249902</v>
      </c>
      <c r="B291" s="480" t="s">
        <v>453</v>
      </c>
      <c r="C291" s="476"/>
      <c r="D291" s="476"/>
      <c r="E291" s="23">
        <v>-1529.28</v>
      </c>
      <c r="F291" s="23">
        <v>0</v>
      </c>
      <c r="H291" s="23">
        <v>0</v>
      </c>
      <c r="J291" s="23">
        <v>-1529.28</v>
      </c>
    </row>
    <row r="292" spans="1:10" ht="15.95" customHeight="1" x14ac:dyDescent="0.2">
      <c r="A292" s="27" t="s">
        <v>454</v>
      </c>
      <c r="B292" s="480" t="s">
        <v>453</v>
      </c>
      <c r="C292" s="476"/>
      <c r="D292" s="476"/>
      <c r="E292" s="23">
        <v>-1529.28</v>
      </c>
      <c r="F292" s="23">
        <v>0</v>
      </c>
      <c r="H292" s="23">
        <v>0</v>
      </c>
      <c r="J292" s="23">
        <v>-1529.28</v>
      </c>
    </row>
    <row r="293" spans="1:10" ht="15.95" customHeight="1" x14ac:dyDescent="0.2">
      <c r="A293" s="27">
        <v>13</v>
      </c>
      <c r="B293" s="480" t="s">
        <v>455</v>
      </c>
      <c r="C293" s="476"/>
      <c r="D293" s="476"/>
      <c r="E293" s="23">
        <v>1236717.49</v>
      </c>
      <c r="F293" s="23">
        <v>0</v>
      </c>
      <c r="H293" s="23">
        <v>0</v>
      </c>
      <c r="J293" s="23">
        <v>1236717.49</v>
      </c>
    </row>
    <row r="294" spans="1:10" ht="15.95" customHeight="1" x14ac:dyDescent="0.2">
      <c r="A294" s="27">
        <v>131</v>
      </c>
      <c r="B294" s="480" t="s">
        <v>456</v>
      </c>
      <c r="C294" s="476"/>
      <c r="D294" s="476"/>
      <c r="E294" s="23">
        <v>1236717.49</v>
      </c>
      <c r="F294" s="23">
        <v>0</v>
      </c>
      <c r="H294" s="23">
        <v>0</v>
      </c>
      <c r="J294" s="23">
        <v>1236717.49</v>
      </c>
    </row>
    <row r="295" spans="1:10" ht="15.95" customHeight="1" x14ac:dyDescent="0.2">
      <c r="A295" s="27">
        <v>13101</v>
      </c>
      <c r="B295" s="480" t="s">
        <v>344</v>
      </c>
      <c r="C295" s="476"/>
      <c r="D295" s="476"/>
      <c r="E295" s="23">
        <v>1236717.49</v>
      </c>
      <c r="F295" s="23">
        <v>0</v>
      </c>
      <c r="H295" s="23">
        <v>0</v>
      </c>
      <c r="J295" s="23">
        <v>1236717.49</v>
      </c>
    </row>
    <row r="296" spans="1:10" ht="15.95" customHeight="1" x14ac:dyDescent="0.2">
      <c r="A296" s="27">
        <v>1310101</v>
      </c>
      <c r="B296" s="480" t="s">
        <v>457</v>
      </c>
      <c r="C296" s="476"/>
      <c r="D296" s="476"/>
      <c r="E296" s="23">
        <v>1236717.49</v>
      </c>
      <c r="F296" s="23">
        <v>0</v>
      </c>
      <c r="H296" s="23">
        <v>0</v>
      </c>
      <c r="J296" s="23">
        <v>1236717.49</v>
      </c>
    </row>
    <row r="297" spans="1:10" ht="15.95" customHeight="1" x14ac:dyDescent="0.2">
      <c r="A297" s="27" t="s">
        <v>458</v>
      </c>
      <c r="B297" s="480" t="s">
        <v>459</v>
      </c>
      <c r="C297" s="476"/>
      <c r="D297" s="476"/>
      <c r="E297" s="23">
        <v>1236717.49</v>
      </c>
      <c r="F297" s="23">
        <v>0</v>
      </c>
      <c r="H297" s="23">
        <v>0</v>
      </c>
      <c r="J297" s="23">
        <v>1236717.49</v>
      </c>
    </row>
    <row r="298" spans="1:10" ht="15.95" customHeight="1" x14ac:dyDescent="0.2">
      <c r="A298" s="27">
        <v>2</v>
      </c>
      <c r="B298" s="480" t="s">
        <v>460</v>
      </c>
      <c r="C298" s="476"/>
      <c r="D298" s="476"/>
      <c r="E298" s="23">
        <v>-337159374.25999999</v>
      </c>
      <c r="F298" s="23">
        <v>114501945.2</v>
      </c>
      <c r="H298" s="23">
        <v>98154346.409999996</v>
      </c>
      <c r="J298" s="23">
        <v>-320811775.47000003</v>
      </c>
    </row>
    <row r="299" spans="1:10" ht="27.95" customHeight="1" x14ac:dyDescent="0.2">
      <c r="A299" s="27">
        <v>21</v>
      </c>
      <c r="B299" s="480" t="s">
        <v>461</v>
      </c>
      <c r="C299" s="476"/>
      <c r="D299" s="476"/>
      <c r="E299" s="23">
        <v>-16440110.85</v>
      </c>
      <c r="F299" s="23">
        <v>38293689.079999998</v>
      </c>
      <c r="H299" s="23">
        <v>36883174.210000001</v>
      </c>
      <c r="J299" s="23">
        <v>-15029595.98</v>
      </c>
    </row>
    <row r="300" spans="1:10" ht="15.95" customHeight="1" x14ac:dyDescent="0.2">
      <c r="A300" s="484" t="s">
        <v>1446</v>
      </c>
      <c r="B300" s="476"/>
      <c r="C300" s="476"/>
      <c r="D300" s="96" t="s">
        <v>1742</v>
      </c>
      <c r="J300" s="97" t="s">
        <v>1743</v>
      </c>
    </row>
    <row r="301" spans="1:10" ht="20.100000000000001" customHeight="1" x14ac:dyDescent="0.2">
      <c r="A301" s="93" t="s">
        <v>1424</v>
      </c>
      <c r="J301" s="94" t="s">
        <v>1748</v>
      </c>
    </row>
    <row r="302" spans="1:10" ht="15.95" customHeight="1" x14ac:dyDescent="0.2">
      <c r="A302" s="27" t="s">
        <v>1737</v>
      </c>
      <c r="C302" s="27" t="s">
        <v>0</v>
      </c>
      <c r="J302" s="23" t="s">
        <v>1738</v>
      </c>
    </row>
    <row r="303" spans="1:10" ht="14.1" customHeight="1" x14ac:dyDescent="0.2">
      <c r="A303" s="95" t="s">
        <v>1739</v>
      </c>
      <c r="J303" s="23" t="s">
        <v>1740</v>
      </c>
    </row>
    <row r="304" spans="1:10" ht="15" customHeight="1" x14ac:dyDescent="0.2">
      <c r="A304" s="95" t="s">
        <v>1741</v>
      </c>
    </row>
    <row r="305" spans="1:10" ht="23.1" customHeight="1" x14ac:dyDescent="0.2">
      <c r="A305" s="20" t="s">
        <v>55</v>
      </c>
      <c r="B305" s="20" t="s">
        <v>56</v>
      </c>
      <c r="E305" s="21" t="s">
        <v>57</v>
      </c>
      <c r="F305" s="21" t="s">
        <v>58</v>
      </c>
      <c r="H305" s="21" t="s">
        <v>59</v>
      </c>
      <c r="J305" s="21" t="s">
        <v>60</v>
      </c>
    </row>
    <row r="306" spans="1:10" ht="15.95" customHeight="1" x14ac:dyDescent="0.2">
      <c r="A306" s="27">
        <v>211</v>
      </c>
      <c r="B306" s="480" t="s">
        <v>462</v>
      </c>
      <c r="C306" s="476"/>
      <c r="D306" s="476"/>
      <c r="E306" s="23">
        <v>-3566348.28</v>
      </c>
      <c r="F306" s="23">
        <v>15432479.27</v>
      </c>
      <c r="H306" s="23">
        <v>14408342.25</v>
      </c>
      <c r="J306" s="23">
        <v>-2542211.2599999998</v>
      </c>
    </row>
    <row r="307" spans="1:10" ht="15.95" customHeight="1" x14ac:dyDescent="0.2">
      <c r="A307" s="27">
        <v>21101</v>
      </c>
      <c r="B307" s="480" t="s">
        <v>462</v>
      </c>
      <c r="C307" s="476"/>
      <c r="D307" s="476"/>
      <c r="E307" s="23">
        <v>-3566348.28</v>
      </c>
      <c r="F307" s="23">
        <v>15432479.27</v>
      </c>
      <c r="H307" s="23">
        <v>14408342.25</v>
      </c>
      <c r="J307" s="23">
        <v>-2542211.2599999998</v>
      </c>
    </row>
    <row r="308" spans="1:10" ht="15.95" customHeight="1" x14ac:dyDescent="0.2">
      <c r="A308" s="27">
        <v>2110101</v>
      </c>
      <c r="B308" s="480" t="s">
        <v>463</v>
      </c>
      <c r="C308" s="476"/>
      <c r="D308" s="476"/>
      <c r="E308" s="23">
        <v>-3161666.4</v>
      </c>
      <c r="F308" s="23">
        <v>13328296.710000001</v>
      </c>
      <c r="H308" s="23">
        <v>12327907.789999999</v>
      </c>
      <c r="J308" s="23">
        <v>-2161277.48</v>
      </c>
    </row>
    <row r="309" spans="1:10" ht="15.95" customHeight="1" x14ac:dyDescent="0.2">
      <c r="A309" s="27" t="s">
        <v>464</v>
      </c>
      <c r="B309" s="480" t="s">
        <v>465</v>
      </c>
      <c r="C309" s="476"/>
      <c r="D309" s="476"/>
      <c r="E309" s="23">
        <v>-72694.399999999994</v>
      </c>
      <c r="F309" s="23">
        <v>352399.32</v>
      </c>
      <c r="H309" s="23">
        <v>451149.24</v>
      </c>
      <c r="J309" s="23">
        <v>-171444.32</v>
      </c>
    </row>
    <row r="310" spans="1:10" ht="15.95" customHeight="1" x14ac:dyDescent="0.2">
      <c r="A310" s="27" t="s">
        <v>466</v>
      </c>
      <c r="B310" s="480" t="s">
        <v>467</v>
      </c>
      <c r="C310" s="476"/>
      <c r="D310" s="476"/>
      <c r="E310" s="23">
        <v>-1008457.32</v>
      </c>
      <c r="F310" s="23">
        <v>2769448.17</v>
      </c>
      <c r="H310" s="23">
        <v>2026460.95</v>
      </c>
      <c r="J310" s="23">
        <v>-265470.09999999998</v>
      </c>
    </row>
    <row r="311" spans="1:10" ht="15.95" customHeight="1" x14ac:dyDescent="0.2">
      <c r="A311" s="27" t="s">
        <v>468</v>
      </c>
      <c r="B311" s="480" t="s">
        <v>469</v>
      </c>
      <c r="C311" s="476"/>
      <c r="D311" s="476"/>
      <c r="E311" s="23">
        <v>-4246.2700000000004</v>
      </c>
      <c r="F311" s="23">
        <v>13405.49</v>
      </c>
      <c r="H311" s="23">
        <v>10908.61</v>
      </c>
      <c r="J311" s="23">
        <v>-1749.39</v>
      </c>
    </row>
    <row r="312" spans="1:10" ht="15.95" customHeight="1" x14ac:dyDescent="0.2">
      <c r="A312" s="27" t="s">
        <v>470</v>
      </c>
      <c r="B312" s="480" t="s">
        <v>471</v>
      </c>
      <c r="C312" s="476"/>
      <c r="D312" s="476"/>
      <c r="E312" s="23">
        <v>-6464.94</v>
      </c>
      <c r="F312" s="23">
        <v>86752.09</v>
      </c>
      <c r="H312" s="23">
        <v>80287.149999999994</v>
      </c>
      <c r="J312" s="23">
        <v>0</v>
      </c>
    </row>
    <row r="313" spans="1:10" ht="15.95" customHeight="1" x14ac:dyDescent="0.2">
      <c r="A313" s="27" t="s">
        <v>1492</v>
      </c>
      <c r="B313" s="480" t="s">
        <v>1493</v>
      </c>
      <c r="C313" s="476"/>
      <c r="D313" s="476"/>
      <c r="E313" s="23">
        <v>-82859.820000000007</v>
      </c>
      <c r="F313" s="23">
        <v>172259.82</v>
      </c>
      <c r="H313" s="23">
        <v>89400</v>
      </c>
      <c r="J313" s="23">
        <v>0</v>
      </c>
    </row>
    <row r="314" spans="1:10" ht="15.95" customHeight="1" x14ac:dyDescent="0.2">
      <c r="A314" s="27" t="s">
        <v>472</v>
      </c>
      <c r="B314" s="480" t="s">
        <v>473</v>
      </c>
      <c r="C314" s="476"/>
      <c r="D314" s="476"/>
      <c r="E314" s="23">
        <v>0</v>
      </c>
      <c r="F314" s="23">
        <v>34105.279999999999</v>
      </c>
      <c r="H314" s="23">
        <v>36562.11</v>
      </c>
      <c r="J314" s="23">
        <v>-2456.83</v>
      </c>
    </row>
    <row r="315" spans="1:10" ht="15.95" customHeight="1" x14ac:dyDescent="0.2">
      <c r="A315" s="27" t="s">
        <v>474</v>
      </c>
      <c r="B315" s="480" t="s">
        <v>475</v>
      </c>
      <c r="C315" s="476"/>
      <c r="D315" s="476"/>
      <c r="E315" s="23">
        <v>0</v>
      </c>
      <c r="F315" s="23">
        <v>5038.26</v>
      </c>
      <c r="H315" s="23">
        <v>10076.52</v>
      </c>
      <c r="J315" s="23">
        <v>-5038.26</v>
      </c>
    </row>
    <row r="316" spans="1:10" ht="15.95" customHeight="1" x14ac:dyDescent="0.2">
      <c r="A316" s="27" t="s">
        <v>476</v>
      </c>
      <c r="B316" s="480" t="s">
        <v>477</v>
      </c>
      <c r="C316" s="476"/>
      <c r="D316" s="476"/>
      <c r="E316" s="23">
        <v>0</v>
      </c>
      <c r="F316" s="23">
        <v>7152.75</v>
      </c>
      <c r="H316" s="23">
        <v>8745</v>
      </c>
      <c r="J316" s="23">
        <v>-1592.25</v>
      </c>
    </row>
    <row r="317" spans="1:10" ht="15.95" customHeight="1" x14ac:dyDescent="0.2">
      <c r="A317" s="27" t="s">
        <v>1494</v>
      </c>
      <c r="B317" s="480" t="s">
        <v>1495</v>
      </c>
      <c r="C317" s="476"/>
      <c r="D317" s="476"/>
      <c r="E317" s="23">
        <v>0</v>
      </c>
      <c r="F317" s="23">
        <v>33125</v>
      </c>
      <c r="H317" s="23">
        <v>33125</v>
      </c>
      <c r="J317" s="23">
        <v>0</v>
      </c>
    </row>
    <row r="318" spans="1:10" ht="15.95" customHeight="1" x14ac:dyDescent="0.2">
      <c r="A318" s="27" t="s">
        <v>1496</v>
      </c>
      <c r="B318" s="480" t="s">
        <v>1497</v>
      </c>
      <c r="C318" s="476"/>
      <c r="D318" s="476"/>
      <c r="E318" s="23">
        <v>-333069.58</v>
      </c>
      <c r="F318" s="23">
        <v>986978.77</v>
      </c>
      <c r="H318" s="23">
        <v>736590.26</v>
      </c>
      <c r="J318" s="23">
        <v>-82681.070000000007</v>
      </c>
    </row>
    <row r="319" spans="1:10" ht="15.95" customHeight="1" x14ac:dyDescent="0.2">
      <c r="A319" s="27" t="s">
        <v>1498</v>
      </c>
      <c r="B319" s="480" t="s">
        <v>1499</v>
      </c>
      <c r="C319" s="476"/>
      <c r="D319" s="476"/>
      <c r="E319" s="23">
        <v>-43091.42</v>
      </c>
      <c r="F319" s="23">
        <v>43091.42</v>
      </c>
      <c r="H319" s="23">
        <v>0</v>
      </c>
      <c r="J319" s="23">
        <v>0</v>
      </c>
    </row>
    <row r="320" spans="1:10" ht="15.95" customHeight="1" x14ac:dyDescent="0.2">
      <c r="A320" s="27" t="s">
        <v>478</v>
      </c>
      <c r="B320" s="480" t="s">
        <v>479</v>
      </c>
      <c r="C320" s="476"/>
      <c r="D320" s="476"/>
      <c r="E320" s="23">
        <v>0</v>
      </c>
      <c r="F320" s="23">
        <v>11451.8</v>
      </c>
      <c r="H320" s="23">
        <v>11451.8</v>
      </c>
      <c r="J320" s="23">
        <v>0</v>
      </c>
    </row>
    <row r="321" spans="1:10" ht="15.95" customHeight="1" x14ac:dyDescent="0.2">
      <c r="A321" s="27" t="s">
        <v>480</v>
      </c>
      <c r="B321" s="480" t="s">
        <v>481</v>
      </c>
      <c r="C321" s="476"/>
      <c r="D321" s="476"/>
      <c r="E321" s="23">
        <v>0</v>
      </c>
      <c r="F321" s="23">
        <v>4817.3599999999997</v>
      </c>
      <c r="H321" s="23">
        <v>6900</v>
      </c>
      <c r="J321" s="23">
        <v>-2082.64</v>
      </c>
    </row>
    <row r="322" spans="1:10" ht="15.95" customHeight="1" x14ac:dyDescent="0.2">
      <c r="A322" s="27" t="s">
        <v>1600</v>
      </c>
      <c r="B322" s="480" t="s">
        <v>1601</v>
      </c>
      <c r="C322" s="476"/>
      <c r="D322" s="476"/>
      <c r="E322" s="23">
        <v>0</v>
      </c>
      <c r="F322" s="23">
        <v>848.06</v>
      </c>
      <c r="H322" s="23">
        <v>848.06</v>
      </c>
      <c r="J322" s="23">
        <v>0</v>
      </c>
    </row>
    <row r="323" spans="1:10" ht="15.95" customHeight="1" x14ac:dyDescent="0.2">
      <c r="A323" s="27" t="s">
        <v>1500</v>
      </c>
      <c r="B323" s="480" t="s">
        <v>1501</v>
      </c>
      <c r="C323" s="476"/>
      <c r="D323" s="476"/>
      <c r="E323" s="23">
        <v>0</v>
      </c>
      <c r="F323" s="23">
        <v>10336.629999999999</v>
      </c>
      <c r="H323" s="23">
        <v>10336.629999999999</v>
      </c>
      <c r="J323" s="23">
        <v>0</v>
      </c>
    </row>
    <row r="324" spans="1:10" ht="15.95" customHeight="1" x14ac:dyDescent="0.2">
      <c r="A324" s="27" t="s">
        <v>482</v>
      </c>
      <c r="B324" s="480" t="s">
        <v>483</v>
      </c>
      <c r="C324" s="476"/>
      <c r="D324" s="476"/>
      <c r="E324" s="23">
        <v>0</v>
      </c>
      <c r="F324" s="23">
        <v>30766.25</v>
      </c>
      <c r="H324" s="23">
        <v>30766.25</v>
      </c>
      <c r="J324" s="23">
        <v>0</v>
      </c>
    </row>
    <row r="325" spans="1:10" ht="15.95" customHeight="1" x14ac:dyDescent="0.2">
      <c r="A325" s="27" t="s">
        <v>484</v>
      </c>
      <c r="B325" s="480" t="s">
        <v>485</v>
      </c>
      <c r="C325" s="476"/>
      <c r="D325" s="476"/>
      <c r="E325" s="23">
        <v>0</v>
      </c>
      <c r="F325" s="23">
        <v>6323.21</v>
      </c>
      <c r="H325" s="23">
        <v>6323.21</v>
      </c>
      <c r="J325" s="23">
        <v>0</v>
      </c>
    </row>
    <row r="326" spans="1:10" ht="15.95" customHeight="1" x14ac:dyDescent="0.2">
      <c r="A326" s="27" t="s">
        <v>486</v>
      </c>
      <c r="B326" s="480" t="s">
        <v>487</v>
      </c>
      <c r="C326" s="476"/>
      <c r="D326" s="476"/>
      <c r="E326" s="23">
        <v>0</v>
      </c>
      <c r="F326" s="23">
        <v>4340.82</v>
      </c>
      <c r="H326" s="23">
        <v>4340.82</v>
      </c>
      <c r="J326" s="23">
        <v>0</v>
      </c>
    </row>
    <row r="327" spans="1:10" ht="15.95" customHeight="1" x14ac:dyDescent="0.2">
      <c r="A327" s="27" t="s">
        <v>488</v>
      </c>
      <c r="B327" s="480" t="s">
        <v>489</v>
      </c>
      <c r="C327" s="476"/>
      <c r="D327" s="476"/>
      <c r="E327" s="23">
        <v>-129078.55</v>
      </c>
      <c r="F327" s="23">
        <v>769138.67</v>
      </c>
      <c r="H327" s="23">
        <v>640060.12</v>
      </c>
      <c r="J327" s="23">
        <v>0</v>
      </c>
    </row>
    <row r="328" spans="1:10" ht="15.95" customHeight="1" x14ac:dyDescent="0.2">
      <c r="A328" s="27" t="s">
        <v>490</v>
      </c>
      <c r="B328" s="480" t="s">
        <v>491</v>
      </c>
      <c r="C328" s="476"/>
      <c r="D328" s="476"/>
      <c r="E328" s="23">
        <v>0</v>
      </c>
      <c r="F328" s="23">
        <v>15573.81</v>
      </c>
      <c r="H328" s="23">
        <v>18351.73</v>
      </c>
      <c r="J328" s="23">
        <v>-2777.92</v>
      </c>
    </row>
    <row r="329" spans="1:10" ht="15.95" customHeight="1" x14ac:dyDescent="0.2">
      <c r="A329" s="27" t="s">
        <v>492</v>
      </c>
      <c r="B329" s="480" t="s">
        <v>493</v>
      </c>
      <c r="C329" s="476"/>
      <c r="D329" s="476"/>
      <c r="E329" s="23">
        <v>0</v>
      </c>
      <c r="F329" s="23">
        <v>149.12</v>
      </c>
      <c r="H329" s="23">
        <v>149.12</v>
      </c>
      <c r="J329" s="23">
        <v>0</v>
      </c>
    </row>
    <row r="330" spans="1:10" ht="15.95" customHeight="1" x14ac:dyDescent="0.2">
      <c r="A330" s="27" t="s">
        <v>494</v>
      </c>
      <c r="B330" s="480" t="s">
        <v>495</v>
      </c>
      <c r="C330" s="476"/>
      <c r="D330" s="476"/>
      <c r="E330" s="23">
        <v>0</v>
      </c>
      <c r="F330" s="23">
        <v>746.09</v>
      </c>
      <c r="H330" s="23">
        <v>746.09</v>
      </c>
      <c r="J330" s="23">
        <v>0</v>
      </c>
    </row>
    <row r="331" spans="1:10" ht="15.95" customHeight="1" x14ac:dyDescent="0.2">
      <c r="A331" s="27" t="s">
        <v>496</v>
      </c>
      <c r="B331" s="480" t="s">
        <v>497</v>
      </c>
      <c r="C331" s="476"/>
      <c r="D331" s="476"/>
      <c r="E331" s="23">
        <v>-119502.26</v>
      </c>
      <c r="F331" s="23">
        <v>0</v>
      </c>
      <c r="H331" s="23">
        <v>0</v>
      </c>
      <c r="J331" s="23">
        <v>-119502.26</v>
      </c>
    </row>
    <row r="332" spans="1:10" ht="15.95" customHeight="1" x14ac:dyDescent="0.2">
      <c r="A332" s="27" t="s">
        <v>498</v>
      </c>
      <c r="B332" s="480" t="s">
        <v>499</v>
      </c>
      <c r="C332" s="476"/>
      <c r="D332" s="476"/>
      <c r="E332" s="23">
        <v>-1095.99</v>
      </c>
      <c r="F332" s="23">
        <v>7358.35</v>
      </c>
      <c r="H332" s="23">
        <v>7441.25</v>
      </c>
      <c r="J332" s="23">
        <v>-1178.8900000000001</v>
      </c>
    </row>
    <row r="333" spans="1:10" ht="15.95" customHeight="1" x14ac:dyDescent="0.2">
      <c r="A333" s="27" t="s">
        <v>500</v>
      </c>
      <c r="B333" s="480" t="s">
        <v>501</v>
      </c>
      <c r="C333" s="476"/>
      <c r="D333" s="476"/>
      <c r="E333" s="23">
        <v>0</v>
      </c>
      <c r="F333" s="23">
        <v>12050.96</v>
      </c>
      <c r="H333" s="23">
        <v>12050.96</v>
      </c>
      <c r="J333" s="23">
        <v>0</v>
      </c>
    </row>
    <row r="334" spans="1:10" ht="15.95" customHeight="1" x14ac:dyDescent="0.2">
      <c r="A334" s="27" t="s">
        <v>1502</v>
      </c>
      <c r="B334" s="480" t="s">
        <v>1503</v>
      </c>
      <c r="C334" s="476"/>
      <c r="D334" s="476"/>
      <c r="E334" s="23">
        <v>-254415.56</v>
      </c>
      <c r="F334" s="23">
        <v>0</v>
      </c>
      <c r="H334" s="23">
        <v>0</v>
      </c>
      <c r="J334" s="23">
        <v>-254415.56</v>
      </c>
    </row>
    <row r="335" spans="1:10" ht="15.95" customHeight="1" x14ac:dyDescent="0.2">
      <c r="A335" s="27" t="s">
        <v>502</v>
      </c>
      <c r="B335" s="480" t="s">
        <v>503</v>
      </c>
      <c r="C335" s="476"/>
      <c r="D335" s="476"/>
      <c r="E335" s="23">
        <v>0</v>
      </c>
      <c r="F335" s="23">
        <v>1320332.31</v>
      </c>
      <c r="H335" s="23">
        <v>1383486.62</v>
      </c>
      <c r="J335" s="23">
        <v>-63154.31</v>
      </c>
    </row>
    <row r="336" spans="1:10" ht="15.95" customHeight="1" x14ac:dyDescent="0.2">
      <c r="A336" s="27" t="s">
        <v>504</v>
      </c>
      <c r="B336" s="480" t="s">
        <v>505</v>
      </c>
      <c r="C336" s="476"/>
      <c r="D336" s="476"/>
      <c r="E336" s="23">
        <v>-3169.28</v>
      </c>
      <c r="F336" s="23">
        <v>22475.360000000001</v>
      </c>
      <c r="H336" s="23">
        <v>22482.48</v>
      </c>
      <c r="J336" s="23">
        <v>-3176.4</v>
      </c>
    </row>
    <row r="337" spans="1:10" ht="15.95" customHeight="1" x14ac:dyDescent="0.2">
      <c r="A337" s="27" t="s">
        <v>506</v>
      </c>
      <c r="B337" s="480" t="s">
        <v>507</v>
      </c>
      <c r="C337" s="476"/>
      <c r="D337" s="476"/>
      <c r="E337" s="23">
        <v>-6.69</v>
      </c>
      <c r="F337" s="23">
        <v>750048.41</v>
      </c>
      <c r="H337" s="23">
        <v>750041.72</v>
      </c>
      <c r="J337" s="23">
        <v>0</v>
      </c>
    </row>
    <row r="338" spans="1:10" ht="15.95" customHeight="1" x14ac:dyDescent="0.2">
      <c r="A338" s="27" t="s">
        <v>510</v>
      </c>
      <c r="B338" s="480" t="s">
        <v>511</v>
      </c>
      <c r="C338" s="476"/>
      <c r="D338" s="476"/>
      <c r="E338" s="23">
        <v>-331002</v>
      </c>
      <c r="F338" s="23">
        <v>717403.75</v>
      </c>
      <c r="H338" s="23">
        <v>586600</v>
      </c>
      <c r="J338" s="23">
        <v>-200198.25</v>
      </c>
    </row>
    <row r="339" spans="1:10" ht="15.95" customHeight="1" x14ac:dyDescent="0.2">
      <c r="A339" s="27" t="s">
        <v>1504</v>
      </c>
      <c r="B339" s="480" t="s">
        <v>1505</v>
      </c>
      <c r="C339" s="476"/>
      <c r="D339" s="476"/>
      <c r="E339" s="23">
        <v>0</v>
      </c>
      <c r="F339" s="23">
        <v>33557.08</v>
      </c>
      <c r="H339" s="23">
        <v>35169.53</v>
      </c>
      <c r="J339" s="23">
        <v>-1612.45</v>
      </c>
    </row>
    <row r="340" spans="1:10" ht="15.95" customHeight="1" x14ac:dyDescent="0.2">
      <c r="A340" s="27" t="s">
        <v>512</v>
      </c>
      <c r="B340" s="480" t="s">
        <v>513</v>
      </c>
      <c r="C340" s="476"/>
      <c r="D340" s="476"/>
      <c r="E340" s="23">
        <v>-1606.1</v>
      </c>
      <c r="F340" s="23">
        <v>0</v>
      </c>
      <c r="H340" s="23">
        <v>0</v>
      </c>
      <c r="J340" s="23">
        <v>-1606.1</v>
      </c>
    </row>
    <row r="341" spans="1:10" ht="15.95" customHeight="1" x14ac:dyDescent="0.2">
      <c r="A341" s="27" t="s">
        <v>1506</v>
      </c>
      <c r="B341" s="480" t="s">
        <v>1507</v>
      </c>
      <c r="C341" s="476"/>
      <c r="D341" s="476"/>
      <c r="E341" s="23">
        <v>0</v>
      </c>
      <c r="F341" s="23">
        <v>17341.79</v>
      </c>
      <c r="H341" s="23">
        <v>17341.79</v>
      </c>
      <c r="J341" s="23">
        <v>0</v>
      </c>
    </row>
    <row r="342" spans="1:10" ht="15.95" customHeight="1" x14ac:dyDescent="0.2">
      <c r="A342" s="27" t="s">
        <v>1508</v>
      </c>
      <c r="B342" s="480" t="s">
        <v>1509</v>
      </c>
      <c r="C342" s="476"/>
      <c r="D342" s="476"/>
      <c r="E342" s="23">
        <v>-427.72</v>
      </c>
      <c r="F342" s="23">
        <v>1468.72</v>
      </c>
      <c r="H342" s="23">
        <v>1041</v>
      </c>
      <c r="J342" s="23">
        <v>0</v>
      </c>
    </row>
    <row r="343" spans="1:10" ht="15.95" customHeight="1" x14ac:dyDescent="0.2">
      <c r="A343" s="27" t="s">
        <v>1602</v>
      </c>
      <c r="B343" s="480" t="s">
        <v>1603</v>
      </c>
      <c r="C343" s="476"/>
      <c r="D343" s="476"/>
      <c r="E343" s="23">
        <v>0</v>
      </c>
      <c r="F343" s="23">
        <v>5245.2</v>
      </c>
      <c r="H343" s="23">
        <v>5245.2</v>
      </c>
      <c r="J343" s="23">
        <v>0</v>
      </c>
    </row>
    <row r="344" spans="1:10" ht="15.95" customHeight="1" x14ac:dyDescent="0.2">
      <c r="A344" s="27" t="s">
        <v>514</v>
      </c>
      <c r="B344" s="480" t="s">
        <v>515</v>
      </c>
      <c r="C344" s="476"/>
      <c r="D344" s="476"/>
      <c r="E344" s="23">
        <v>-66899.520000000004</v>
      </c>
      <c r="F344" s="23">
        <v>243182.83</v>
      </c>
      <c r="H344" s="23">
        <v>176283.31</v>
      </c>
      <c r="J344" s="23">
        <v>0</v>
      </c>
    </row>
    <row r="345" spans="1:10" ht="15.95" customHeight="1" x14ac:dyDescent="0.2">
      <c r="A345" s="27" t="s">
        <v>516</v>
      </c>
      <c r="B345" s="480" t="s">
        <v>517</v>
      </c>
      <c r="C345" s="476"/>
      <c r="D345" s="476"/>
      <c r="E345" s="23">
        <v>-6121.35</v>
      </c>
      <c r="F345" s="23">
        <v>0</v>
      </c>
      <c r="H345" s="23">
        <v>0</v>
      </c>
      <c r="J345" s="23">
        <v>-6121.35</v>
      </c>
    </row>
    <row r="346" spans="1:10" ht="15.95" customHeight="1" x14ac:dyDescent="0.2">
      <c r="A346" s="27" t="s">
        <v>518</v>
      </c>
      <c r="B346" s="480" t="s">
        <v>519</v>
      </c>
      <c r="C346" s="476"/>
      <c r="D346" s="476"/>
      <c r="E346" s="23">
        <v>-336097.33</v>
      </c>
      <c r="F346" s="23">
        <v>0</v>
      </c>
      <c r="H346" s="23">
        <v>0</v>
      </c>
      <c r="J346" s="23">
        <v>-336097.33</v>
      </c>
    </row>
    <row r="347" spans="1:10" ht="15.95" customHeight="1" x14ac:dyDescent="0.2">
      <c r="A347" s="27" t="s">
        <v>1510</v>
      </c>
      <c r="B347" s="480" t="s">
        <v>1511</v>
      </c>
      <c r="C347" s="476"/>
      <c r="D347" s="476"/>
      <c r="E347" s="23">
        <v>0</v>
      </c>
      <c r="F347" s="23">
        <v>4465.08</v>
      </c>
      <c r="H347" s="23">
        <v>4465.08</v>
      </c>
      <c r="J347" s="23">
        <v>0</v>
      </c>
    </row>
    <row r="348" spans="1:10" ht="15.95" customHeight="1" x14ac:dyDescent="0.2">
      <c r="A348" s="27" t="s">
        <v>1512</v>
      </c>
      <c r="B348" s="480" t="s">
        <v>1513</v>
      </c>
      <c r="C348" s="476"/>
      <c r="D348" s="476"/>
      <c r="E348" s="23">
        <v>0</v>
      </c>
      <c r="F348" s="23">
        <v>1410</v>
      </c>
      <c r="H348" s="23">
        <v>1410</v>
      </c>
      <c r="J348" s="23">
        <v>0</v>
      </c>
    </row>
    <row r="349" spans="1:10" ht="15.95" customHeight="1" x14ac:dyDescent="0.2">
      <c r="A349" s="27" t="s">
        <v>520</v>
      </c>
      <c r="B349" s="480" t="s">
        <v>521</v>
      </c>
      <c r="C349" s="476"/>
      <c r="D349" s="476"/>
      <c r="E349" s="23">
        <v>-179657.48</v>
      </c>
      <c r="F349" s="23">
        <v>152045.48000000001</v>
      </c>
      <c r="H349" s="23">
        <v>0</v>
      </c>
      <c r="J349" s="23">
        <v>-27612</v>
      </c>
    </row>
    <row r="350" spans="1:10" ht="15.95" customHeight="1" x14ac:dyDescent="0.2">
      <c r="A350" s="27" t="s">
        <v>522</v>
      </c>
      <c r="B350" s="480" t="s">
        <v>523</v>
      </c>
      <c r="C350" s="476"/>
      <c r="D350" s="476"/>
      <c r="E350" s="23">
        <v>-5515.14</v>
      </c>
      <c r="F350" s="23">
        <v>48529.26</v>
      </c>
      <c r="H350" s="23">
        <v>48855.77</v>
      </c>
      <c r="J350" s="23">
        <v>-5841.65</v>
      </c>
    </row>
    <row r="351" spans="1:10" ht="15.95" customHeight="1" x14ac:dyDescent="0.2">
      <c r="A351" s="27" t="s">
        <v>524</v>
      </c>
      <c r="B351" s="480" t="s">
        <v>525</v>
      </c>
      <c r="C351" s="476"/>
      <c r="D351" s="476"/>
      <c r="E351" s="23">
        <v>0</v>
      </c>
      <c r="F351" s="23">
        <v>650164.67000000004</v>
      </c>
      <c r="H351" s="23">
        <v>650164.67000000004</v>
      </c>
      <c r="J351" s="23">
        <v>0</v>
      </c>
    </row>
    <row r="352" spans="1:10" ht="15.95" customHeight="1" x14ac:dyDescent="0.2">
      <c r="A352" s="27" t="s">
        <v>1514</v>
      </c>
      <c r="B352" s="480" t="s">
        <v>1515</v>
      </c>
      <c r="C352" s="476"/>
      <c r="D352" s="476"/>
      <c r="E352" s="23">
        <v>0</v>
      </c>
      <c r="F352" s="23">
        <v>440</v>
      </c>
      <c r="H352" s="23">
        <v>440</v>
      </c>
      <c r="J352" s="23">
        <v>0</v>
      </c>
    </row>
    <row r="353" spans="1:10" ht="15.95" customHeight="1" x14ac:dyDescent="0.2">
      <c r="A353" s="27" t="s">
        <v>526</v>
      </c>
      <c r="B353" s="480" t="s">
        <v>527</v>
      </c>
      <c r="C353" s="476"/>
      <c r="D353" s="476"/>
      <c r="E353" s="23">
        <v>-943.19</v>
      </c>
      <c r="F353" s="23">
        <v>1836.28</v>
      </c>
      <c r="H353" s="23">
        <v>893.09</v>
      </c>
      <c r="J353" s="23">
        <v>0</v>
      </c>
    </row>
    <row r="354" spans="1:10" ht="15.95" customHeight="1" x14ac:dyDescent="0.2">
      <c r="A354" s="27" t="s">
        <v>528</v>
      </c>
      <c r="B354" s="480" t="s">
        <v>529</v>
      </c>
      <c r="C354" s="476"/>
      <c r="D354" s="476"/>
      <c r="E354" s="23">
        <v>0</v>
      </c>
      <c r="F354" s="23">
        <v>1704</v>
      </c>
      <c r="H354" s="23">
        <v>1704</v>
      </c>
      <c r="J354" s="23">
        <v>0</v>
      </c>
    </row>
    <row r="355" spans="1:10" ht="15.95" customHeight="1" x14ac:dyDescent="0.2">
      <c r="A355" s="27" t="s">
        <v>530</v>
      </c>
      <c r="B355" s="480" t="s">
        <v>531</v>
      </c>
      <c r="C355" s="476"/>
      <c r="D355" s="476"/>
      <c r="E355" s="23">
        <v>-30222.15</v>
      </c>
      <c r="F355" s="23">
        <v>166971.54</v>
      </c>
      <c r="H355" s="23">
        <v>152008.9</v>
      </c>
      <c r="J355" s="23">
        <v>-15259.51</v>
      </c>
    </row>
    <row r="356" spans="1:10" ht="15.95" customHeight="1" x14ac:dyDescent="0.2">
      <c r="A356" s="27" t="s">
        <v>1516</v>
      </c>
      <c r="B356" s="480" t="s">
        <v>1517</v>
      </c>
      <c r="C356" s="476"/>
      <c r="D356" s="476"/>
      <c r="E356" s="23">
        <v>0</v>
      </c>
      <c r="F356" s="23">
        <v>46865.4</v>
      </c>
      <c r="H356" s="23">
        <v>46865.4</v>
      </c>
      <c r="J356" s="23">
        <v>0</v>
      </c>
    </row>
    <row r="357" spans="1:10" ht="15.95" customHeight="1" x14ac:dyDescent="0.2">
      <c r="A357" s="27" t="s">
        <v>532</v>
      </c>
      <c r="B357" s="480" t="s">
        <v>533</v>
      </c>
      <c r="C357" s="476"/>
      <c r="D357" s="476"/>
      <c r="E357" s="23">
        <v>-1886.04</v>
      </c>
      <c r="F357" s="23">
        <v>12297.97</v>
      </c>
      <c r="H357" s="23">
        <v>12014.24</v>
      </c>
      <c r="J357" s="23">
        <v>-1602.31</v>
      </c>
    </row>
    <row r="358" spans="1:10" ht="15.95" customHeight="1" x14ac:dyDescent="0.2">
      <c r="A358" s="27" t="s">
        <v>534</v>
      </c>
      <c r="B358" s="480" t="s">
        <v>535</v>
      </c>
      <c r="C358" s="476"/>
      <c r="D358" s="476"/>
      <c r="E358" s="23">
        <v>0</v>
      </c>
      <c r="F358" s="23">
        <v>1540999.54</v>
      </c>
      <c r="H358" s="23">
        <v>1598454.61</v>
      </c>
      <c r="J358" s="23">
        <v>-57455.07</v>
      </c>
    </row>
    <row r="359" spans="1:10" ht="27.95" customHeight="1" x14ac:dyDescent="0.2">
      <c r="A359" s="27" t="s">
        <v>1518</v>
      </c>
      <c r="B359" s="480" t="s">
        <v>1519</v>
      </c>
      <c r="C359" s="476"/>
      <c r="D359" s="476"/>
      <c r="E359" s="23">
        <v>0</v>
      </c>
      <c r="F359" s="23">
        <v>15495.21</v>
      </c>
      <c r="H359" s="23">
        <v>15495.21</v>
      </c>
      <c r="J359" s="23">
        <v>0</v>
      </c>
    </row>
    <row r="360" spans="1:10" ht="15.95" customHeight="1" x14ac:dyDescent="0.2">
      <c r="A360" s="484" t="s">
        <v>1446</v>
      </c>
      <c r="B360" s="476"/>
      <c r="C360" s="476"/>
      <c r="D360" s="96" t="s">
        <v>1742</v>
      </c>
      <c r="J360" s="97" t="s">
        <v>1743</v>
      </c>
    </row>
    <row r="361" spans="1:10" ht="20.100000000000001" customHeight="1" x14ac:dyDescent="0.2">
      <c r="A361" s="93" t="s">
        <v>1424</v>
      </c>
      <c r="J361" s="94" t="s">
        <v>1749</v>
      </c>
    </row>
    <row r="362" spans="1:10" ht="15.95" customHeight="1" x14ac:dyDescent="0.2">
      <c r="A362" s="27" t="s">
        <v>1737</v>
      </c>
      <c r="C362" s="27" t="s">
        <v>0</v>
      </c>
      <c r="J362" s="23" t="s">
        <v>1738</v>
      </c>
    </row>
    <row r="363" spans="1:10" ht="14.1" customHeight="1" x14ac:dyDescent="0.2">
      <c r="A363" s="95" t="s">
        <v>1739</v>
      </c>
      <c r="J363" s="23" t="s">
        <v>1740</v>
      </c>
    </row>
    <row r="364" spans="1:10" ht="15" customHeight="1" x14ac:dyDescent="0.2">
      <c r="A364" s="95" t="s">
        <v>1741</v>
      </c>
    </row>
    <row r="365" spans="1:10" ht="23.1" customHeight="1" x14ac:dyDescent="0.2">
      <c r="A365" s="20" t="s">
        <v>55</v>
      </c>
      <c r="B365" s="20" t="s">
        <v>56</v>
      </c>
      <c r="E365" s="21" t="s">
        <v>57</v>
      </c>
      <c r="F365" s="21" t="s">
        <v>58</v>
      </c>
      <c r="H365" s="21" t="s">
        <v>59</v>
      </c>
      <c r="J365" s="21" t="s">
        <v>60</v>
      </c>
    </row>
    <row r="366" spans="1:10" ht="15.95" customHeight="1" x14ac:dyDescent="0.2">
      <c r="A366" s="27" t="s">
        <v>536</v>
      </c>
      <c r="B366" s="480" t="s">
        <v>537</v>
      </c>
      <c r="C366" s="476"/>
      <c r="D366" s="476"/>
      <c r="E366" s="23">
        <v>0</v>
      </c>
      <c r="F366" s="23">
        <v>78540.600000000006</v>
      </c>
      <c r="H366" s="23">
        <v>78540.600000000006</v>
      </c>
      <c r="J366" s="23">
        <v>0</v>
      </c>
    </row>
    <row r="367" spans="1:10" ht="15.95" customHeight="1" x14ac:dyDescent="0.2">
      <c r="A367" s="27" t="s">
        <v>538</v>
      </c>
      <c r="B367" s="480" t="s">
        <v>539</v>
      </c>
      <c r="C367" s="476"/>
      <c r="D367" s="476"/>
      <c r="E367" s="23">
        <v>-1235</v>
      </c>
      <c r="F367" s="23">
        <v>7735</v>
      </c>
      <c r="H367" s="23">
        <v>6500</v>
      </c>
      <c r="J367" s="23">
        <v>0</v>
      </c>
    </row>
    <row r="368" spans="1:10" ht="15.95" customHeight="1" x14ac:dyDescent="0.2">
      <c r="A368" s="27" t="s">
        <v>540</v>
      </c>
      <c r="B368" s="480" t="s">
        <v>541</v>
      </c>
      <c r="C368" s="476"/>
      <c r="D368" s="476"/>
      <c r="E368" s="23">
        <v>-99496.55</v>
      </c>
      <c r="F368" s="23">
        <v>0</v>
      </c>
      <c r="H368" s="23">
        <v>0</v>
      </c>
      <c r="J368" s="23">
        <v>-99496.55</v>
      </c>
    </row>
    <row r="369" spans="1:10" ht="15.95" customHeight="1" x14ac:dyDescent="0.2">
      <c r="A369" s="27" t="s">
        <v>1520</v>
      </c>
      <c r="B369" s="480" t="s">
        <v>1521</v>
      </c>
      <c r="C369" s="476"/>
      <c r="D369" s="476"/>
      <c r="E369" s="23">
        <v>0</v>
      </c>
      <c r="F369" s="23">
        <v>799178.26</v>
      </c>
      <c r="H369" s="23">
        <v>1213530.51</v>
      </c>
      <c r="J369" s="23">
        <v>-414352.25</v>
      </c>
    </row>
    <row r="370" spans="1:10" ht="15.95" customHeight="1" x14ac:dyDescent="0.2">
      <c r="A370" s="27" t="s">
        <v>542</v>
      </c>
      <c r="B370" s="480" t="s">
        <v>543</v>
      </c>
      <c r="C370" s="476"/>
      <c r="D370" s="476"/>
      <c r="E370" s="23">
        <v>0</v>
      </c>
      <c r="F370" s="23">
        <v>375348</v>
      </c>
      <c r="H370" s="23">
        <v>375348</v>
      </c>
      <c r="J370" s="23">
        <v>0</v>
      </c>
    </row>
    <row r="371" spans="1:10" ht="15.95" customHeight="1" x14ac:dyDescent="0.2">
      <c r="A371" s="27" t="s">
        <v>544</v>
      </c>
      <c r="B371" s="480" t="s">
        <v>545</v>
      </c>
      <c r="C371" s="476"/>
      <c r="D371" s="476"/>
      <c r="E371" s="23">
        <v>0</v>
      </c>
      <c r="F371" s="23">
        <v>115857.36</v>
      </c>
      <c r="H371" s="23">
        <v>133159.82</v>
      </c>
      <c r="J371" s="23">
        <v>-17302.46</v>
      </c>
    </row>
    <row r="372" spans="1:10" ht="15.95" customHeight="1" x14ac:dyDescent="0.2">
      <c r="A372" s="27" t="s">
        <v>546</v>
      </c>
      <c r="B372" s="480" t="s">
        <v>547</v>
      </c>
      <c r="C372" s="476"/>
      <c r="D372" s="476"/>
      <c r="E372" s="23">
        <v>0</v>
      </c>
      <c r="F372" s="23">
        <v>598141.6</v>
      </c>
      <c r="H372" s="23">
        <v>598141.6</v>
      </c>
      <c r="J372" s="23">
        <v>0</v>
      </c>
    </row>
    <row r="373" spans="1:10" ht="15.95" customHeight="1" x14ac:dyDescent="0.2">
      <c r="A373" s="27" t="s">
        <v>548</v>
      </c>
      <c r="B373" s="480" t="s">
        <v>549</v>
      </c>
      <c r="C373" s="476"/>
      <c r="D373" s="476"/>
      <c r="E373" s="23">
        <v>0</v>
      </c>
      <c r="F373" s="23">
        <v>59090.239999999998</v>
      </c>
      <c r="H373" s="23">
        <v>59090.239999999998</v>
      </c>
      <c r="J373" s="23">
        <v>0</v>
      </c>
    </row>
    <row r="374" spans="1:10" ht="15.95" customHeight="1" x14ac:dyDescent="0.2">
      <c r="A374" s="27" t="s">
        <v>1522</v>
      </c>
      <c r="B374" s="480" t="s">
        <v>1523</v>
      </c>
      <c r="C374" s="476"/>
      <c r="D374" s="476"/>
      <c r="E374" s="23">
        <v>5.49</v>
      </c>
      <c r="F374" s="23">
        <v>716.01</v>
      </c>
      <c r="H374" s="23">
        <v>721.5</v>
      </c>
      <c r="J374" s="23">
        <v>0</v>
      </c>
    </row>
    <row r="375" spans="1:10" ht="15.95" customHeight="1" x14ac:dyDescent="0.2">
      <c r="A375" s="27" t="s">
        <v>1524</v>
      </c>
      <c r="B375" s="480" t="s">
        <v>1525</v>
      </c>
      <c r="C375" s="476"/>
      <c r="D375" s="476"/>
      <c r="E375" s="23">
        <v>-3931.04</v>
      </c>
      <c r="F375" s="23">
        <v>25031.919999999998</v>
      </c>
      <c r="H375" s="23">
        <v>21100.880000000001</v>
      </c>
      <c r="J375" s="23">
        <v>0</v>
      </c>
    </row>
    <row r="376" spans="1:10" ht="15.95" customHeight="1" x14ac:dyDescent="0.2">
      <c r="A376" s="27" t="s">
        <v>550</v>
      </c>
      <c r="B376" s="480" t="s">
        <v>551</v>
      </c>
      <c r="C376" s="476"/>
      <c r="D376" s="476"/>
      <c r="E376" s="23">
        <v>0</v>
      </c>
      <c r="F376" s="23">
        <v>86026.81</v>
      </c>
      <c r="H376" s="23">
        <v>86026.81</v>
      </c>
      <c r="J376" s="23">
        <v>0</v>
      </c>
    </row>
    <row r="377" spans="1:10" ht="15.95" customHeight="1" x14ac:dyDescent="0.2">
      <c r="A377" s="27" t="s">
        <v>1526</v>
      </c>
      <c r="B377" s="480" t="s">
        <v>1527</v>
      </c>
      <c r="C377" s="476"/>
      <c r="D377" s="476"/>
      <c r="E377" s="23">
        <v>-1125</v>
      </c>
      <c r="F377" s="23">
        <v>6750</v>
      </c>
      <c r="H377" s="23">
        <v>5625</v>
      </c>
      <c r="J377" s="23">
        <v>0</v>
      </c>
    </row>
    <row r="378" spans="1:10" ht="15.95" customHeight="1" x14ac:dyDescent="0.2">
      <c r="A378" s="27" t="s">
        <v>552</v>
      </c>
      <c r="B378" s="480" t="s">
        <v>553</v>
      </c>
      <c r="C378" s="476"/>
      <c r="D378" s="476"/>
      <c r="E378" s="23">
        <v>0</v>
      </c>
      <c r="F378" s="23">
        <v>5959.58</v>
      </c>
      <c r="H378" s="23">
        <v>5959.58</v>
      </c>
      <c r="J378" s="23">
        <v>0</v>
      </c>
    </row>
    <row r="379" spans="1:10" ht="15.95" customHeight="1" x14ac:dyDescent="0.2">
      <c r="A379" s="27" t="s">
        <v>1604</v>
      </c>
      <c r="B379" s="480" t="s">
        <v>1605</v>
      </c>
      <c r="C379" s="476"/>
      <c r="D379" s="476"/>
      <c r="E379" s="23">
        <v>-3764.2</v>
      </c>
      <c r="F379" s="23">
        <v>3764.2</v>
      </c>
      <c r="H379" s="23">
        <v>0</v>
      </c>
      <c r="J379" s="23">
        <v>0</v>
      </c>
    </row>
    <row r="380" spans="1:10" ht="15.95" customHeight="1" x14ac:dyDescent="0.2">
      <c r="A380" s="27" t="s">
        <v>1606</v>
      </c>
      <c r="B380" s="480" t="s">
        <v>1607</v>
      </c>
      <c r="C380" s="476"/>
      <c r="D380" s="476"/>
      <c r="E380" s="23">
        <v>-26400</v>
      </c>
      <c r="F380" s="23">
        <v>26400</v>
      </c>
      <c r="H380" s="23">
        <v>0</v>
      </c>
      <c r="J380" s="23">
        <v>0</v>
      </c>
    </row>
    <row r="381" spans="1:10" ht="15.95" customHeight="1" x14ac:dyDescent="0.2">
      <c r="A381" s="27" t="s">
        <v>1608</v>
      </c>
      <c r="B381" s="480" t="s">
        <v>1609</v>
      </c>
      <c r="C381" s="476"/>
      <c r="D381" s="476"/>
      <c r="E381" s="23">
        <v>-7190</v>
      </c>
      <c r="F381" s="23">
        <v>7190</v>
      </c>
      <c r="H381" s="23">
        <v>0</v>
      </c>
      <c r="J381" s="23">
        <v>0</v>
      </c>
    </row>
    <row r="382" spans="1:10" ht="15.95" customHeight="1" x14ac:dyDescent="0.2">
      <c r="A382" s="27" t="s">
        <v>554</v>
      </c>
      <c r="B382" s="480" t="s">
        <v>555</v>
      </c>
      <c r="C382" s="476"/>
      <c r="D382" s="476"/>
      <c r="E382" s="23">
        <v>0</v>
      </c>
      <c r="F382" s="23">
        <v>629.75</v>
      </c>
      <c r="H382" s="23">
        <v>629.75</v>
      </c>
      <c r="J382" s="23">
        <v>0</v>
      </c>
    </row>
    <row r="383" spans="1:10" ht="15.95" customHeight="1" x14ac:dyDescent="0.2">
      <c r="A383" s="27">
        <v>2110102</v>
      </c>
      <c r="B383" s="480" t="s">
        <v>566</v>
      </c>
      <c r="C383" s="476"/>
      <c r="D383" s="476"/>
      <c r="E383" s="23">
        <v>-404681.88</v>
      </c>
      <c r="F383" s="23">
        <v>2104182.56</v>
      </c>
      <c r="H383" s="23">
        <v>2080434.46</v>
      </c>
      <c r="J383" s="23">
        <v>-380933.78</v>
      </c>
    </row>
    <row r="384" spans="1:10" ht="15.95" customHeight="1" x14ac:dyDescent="0.2">
      <c r="A384" s="27" t="s">
        <v>567</v>
      </c>
      <c r="B384" s="480" t="s">
        <v>568</v>
      </c>
      <c r="C384" s="476"/>
      <c r="D384" s="476"/>
      <c r="E384" s="23">
        <v>0</v>
      </c>
      <c r="F384" s="23">
        <v>1437</v>
      </c>
      <c r="H384" s="23">
        <v>1437</v>
      </c>
      <c r="J384" s="23">
        <v>0</v>
      </c>
    </row>
    <row r="385" spans="1:10" ht="15.95" customHeight="1" x14ac:dyDescent="0.2">
      <c r="A385" s="27" t="s">
        <v>569</v>
      </c>
      <c r="B385" s="480" t="s">
        <v>570</v>
      </c>
      <c r="C385" s="476"/>
      <c r="D385" s="476"/>
      <c r="E385" s="23">
        <v>0</v>
      </c>
      <c r="F385" s="23">
        <v>70764.990000000005</v>
      </c>
      <c r="H385" s="23">
        <v>70764.990000000005</v>
      </c>
      <c r="J385" s="23">
        <v>0</v>
      </c>
    </row>
    <row r="386" spans="1:10" ht="15.95" customHeight="1" x14ac:dyDescent="0.2">
      <c r="A386" s="27" t="s">
        <v>571</v>
      </c>
      <c r="B386" s="480" t="s">
        <v>572</v>
      </c>
      <c r="C386" s="476"/>
      <c r="D386" s="476"/>
      <c r="E386" s="23">
        <v>0</v>
      </c>
      <c r="F386" s="23">
        <v>10605.84</v>
      </c>
      <c r="H386" s="23">
        <v>10605.84</v>
      </c>
      <c r="J386" s="23">
        <v>0</v>
      </c>
    </row>
    <row r="387" spans="1:10" ht="15.95" customHeight="1" x14ac:dyDescent="0.2">
      <c r="A387" s="27" t="s">
        <v>573</v>
      </c>
      <c r="B387" s="480" t="s">
        <v>574</v>
      </c>
      <c r="C387" s="476"/>
      <c r="D387" s="476"/>
      <c r="E387" s="23">
        <v>-10044.700000000001</v>
      </c>
      <c r="F387" s="23">
        <v>65077.74</v>
      </c>
      <c r="H387" s="23">
        <v>55033.04</v>
      </c>
      <c r="J387" s="23">
        <v>0</v>
      </c>
    </row>
    <row r="388" spans="1:10" ht="15.95" customHeight="1" x14ac:dyDescent="0.2">
      <c r="A388" s="27" t="s">
        <v>575</v>
      </c>
      <c r="B388" s="480" t="s">
        <v>576</v>
      </c>
      <c r="C388" s="476"/>
      <c r="D388" s="476"/>
      <c r="E388" s="23">
        <v>-1600</v>
      </c>
      <c r="F388" s="23">
        <v>11882.66</v>
      </c>
      <c r="H388" s="23">
        <v>12565.32</v>
      </c>
      <c r="J388" s="23">
        <v>-2282.66</v>
      </c>
    </row>
    <row r="389" spans="1:10" ht="15.95" customHeight="1" x14ac:dyDescent="0.2">
      <c r="A389" s="27" t="s">
        <v>1610</v>
      </c>
      <c r="B389" s="480" t="s">
        <v>1611</v>
      </c>
      <c r="C389" s="476"/>
      <c r="D389" s="476"/>
      <c r="E389" s="23">
        <v>-2277.16</v>
      </c>
      <c r="F389" s="23">
        <v>2277.16</v>
      </c>
      <c r="H389" s="23">
        <v>0</v>
      </c>
      <c r="J389" s="23">
        <v>0</v>
      </c>
    </row>
    <row r="390" spans="1:10" ht="15.95" customHeight="1" x14ac:dyDescent="0.2">
      <c r="A390" s="27" t="s">
        <v>1528</v>
      </c>
      <c r="B390" s="480" t="s">
        <v>1529</v>
      </c>
      <c r="C390" s="476"/>
      <c r="D390" s="476"/>
      <c r="E390" s="23">
        <v>-374650.46</v>
      </c>
      <c r="F390" s="23">
        <v>0</v>
      </c>
      <c r="H390" s="23">
        <v>0</v>
      </c>
      <c r="J390" s="23">
        <v>-374650.46</v>
      </c>
    </row>
    <row r="391" spans="1:10" ht="15.95" customHeight="1" x14ac:dyDescent="0.2">
      <c r="A391" s="27" t="s">
        <v>1530</v>
      </c>
      <c r="B391" s="480" t="s">
        <v>1531</v>
      </c>
      <c r="C391" s="476"/>
      <c r="D391" s="476"/>
      <c r="E391" s="23">
        <v>0</v>
      </c>
      <c r="F391" s="23">
        <v>11629.2</v>
      </c>
      <c r="H391" s="23">
        <v>11629.2</v>
      </c>
      <c r="J391" s="23">
        <v>0</v>
      </c>
    </row>
    <row r="392" spans="1:10" ht="15.95" customHeight="1" x14ac:dyDescent="0.2">
      <c r="A392" s="27" t="s">
        <v>577</v>
      </c>
      <c r="B392" s="480" t="s">
        <v>578</v>
      </c>
      <c r="C392" s="476"/>
      <c r="D392" s="476"/>
      <c r="E392" s="23">
        <v>0</v>
      </c>
      <c r="F392" s="23">
        <v>13109</v>
      </c>
      <c r="H392" s="23">
        <v>13109</v>
      </c>
      <c r="J392" s="23">
        <v>0</v>
      </c>
    </row>
    <row r="393" spans="1:10" ht="15.95" customHeight="1" x14ac:dyDescent="0.2">
      <c r="A393" s="27" t="s">
        <v>581</v>
      </c>
      <c r="B393" s="480" t="s">
        <v>582</v>
      </c>
      <c r="C393" s="476"/>
      <c r="D393" s="476"/>
      <c r="E393" s="23">
        <v>0</v>
      </c>
      <c r="F393" s="23">
        <v>1214941.98</v>
      </c>
      <c r="H393" s="23">
        <v>1214941.98</v>
      </c>
      <c r="J393" s="23">
        <v>0</v>
      </c>
    </row>
    <row r="394" spans="1:10" ht="15.95" customHeight="1" x14ac:dyDescent="0.2">
      <c r="A394" s="27" t="s">
        <v>583</v>
      </c>
      <c r="B394" s="480" t="s">
        <v>584</v>
      </c>
      <c r="C394" s="476"/>
      <c r="D394" s="476"/>
      <c r="E394" s="23">
        <v>-3793.16</v>
      </c>
      <c r="F394" s="23">
        <v>0</v>
      </c>
      <c r="H394" s="23">
        <v>0</v>
      </c>
      <c r="J394" s="23">
        <v>-3793.16</v>
      </c>
    </row>
    <row r="395" spans="1:10" ht="15.95" customHeight="1" x14ac:dyDescent="0.2">
      <c r="A395" s="27" t="s">
        <v>585</v>
      </c>
      <c r="B395" s="480" t="s">
        <v>586</v>
      </c>
      <c r="C395" s="476"/>
      <c r="D395" s="476"/>
      <c r="E395" s="23">
        <v>0</v>
      </c>
      <c r="F395" s="23">
        <v>1477.45</v>
      </c>
      <c r="H395" s="23">
        <v>1477.45</v>
      </c>
      <c r="J395" s="23">
        <v>0</v>
      </c>
    </row>
    <row r="396" spans="1:10" ht="15.95" customHeight="1" x14ac:dyDescent="0.2">
      <c r="A396" s="27" t="s">
        <v>1532</v>
      </c>
      <c r="B396" s="480" t="s">
        <v>1533</v>
      </c>
      <c r="C396" s="476"/>
      <c r="D396" s="476"/>
      <c r="E396" s="23">
        <v>0</v>
      </c>
      <c r="F396" s="23">
        <v>502814.28</v>
      </c>
      <c r="H396" s="23">
        <v>502814.28</v>
      </c>
      <c r="J396" s="23">
        <v>0</v>
      </c>
    </row>
    <row r="397" spans="1:10" ht="15.95" customHeight="1" x14ac:dyDescent="0.2">
      <c r="A397" s="27" t="s">
        <v>1612</v>
      </c>
      <c r="B397" s="480" t="s">
        <v>1613</v>
      </c>
      <c r="C397" s="476"/>
      <c r="D397" s="476"/>
      <c r="E397" s="23">
        <v>-10126.4</v>
      </c>
      <c r="F397" s="23">
        <v>10126.4</v>
      </c>
      <c r="H397" s="23">
        <v>0</v>
      </c>
      <c r="J397" s="23">
        <v>0</v>
      </c>
    </row>
    <row r="398" spans="1:10" ht="15.95" customHeight="1" x14ac:dyDescent="0.2">
      <c r="A398" s="27" t="s">
        <v>1534</v>
      </c>
      <c r="B398" s="480" t="s">
        <v>1535</v>
      </c>
      <c r="C398" s="476"/>
      <c r="D398" s="476"/>
      <c r="E398" s="23">
        <v>0</v>
      </c>
      <c r="F398" s="23">
        <v>14300</v>
      </c>
      <c r="H398" s="23">
        <v>14300</v>
      </c>
      <c r="J398" s="23">
        <v>0</v>
      </c>
    </row>
    <row r="399" spans="1:10" ht="15.95" customHeight="1" x14ac:dyDescent="0.2">
      <c r="A399" s="27" t="s">
        <v>1536</v>
      </c>
      <c r="B399" s="480" t="s">
        <v>1537</v>
      </c>
      <c r="C399" s="476"/>
      <c r="D399" s="476"/>
      <c r="E399" s="23">
        <v>0</v>
      </c>
      <c r="F399" s="23">
        <v>10375</v>
      </c>
      <c r="H399" s="23">
        <v>10582.5</v>
      </c>
      <c r="J399" s="23">
        <v>-207.5</v>
      </c>
    </row>
    <row r="400" spans="1:10" ht="15.95" customHeight="1" x14ac:dyDescent="0.2">
      <c r="A400" s="27" t="s">
        <v>1614</v>
      </c>
      <c r="B400" s="480" t="s">
        <v>1615</v>
      </c>
      <c r="C400" s="476"/>
      <c r="D400" s="476"/>
      <c r="E400" s="23">
        <v>-2190</v>
      </c>
      <c r="F400" s="23">
        <v>2190</v>
      </c>
      <c r="H400" s="23">
        <v>0</v>
      </c>
      <c r="J400" s="23">
        <v>0</v>
      </c>
    </row>
    <row r="401" spans="1:10" ht="15.95" customHeight="1" x14ac:dyDescent="0.2">
      <c r="A401" s="27" t="s">
        <v>1616</v>
      </c>
      <c r="B401" s="480" t="s">
        <v>1617</v>
      </c>
      <c r="C401" s="476"/>
      <c r="D401" s="476"/>
      <c r="E401" s="23">
        <v>0</v>
      </c>
      <c r="F401" s="23">
        <v>36000</v>
      </c>
      <c r="H401" s="23">
        <v>36000</v>
      </c>
      <c r="J401" s="23">
        <v>0</v>
      </c>
    </row>
    <row r="402" spans="1:10" ht="15.95" customHeight="1" x14ac:dyDescent="0.2">
      <c r="A402" s="27" t="s">
        <v>1538</v>
      </c>
      <c r="B402" s="480" t="s">
        <v>1539</v>
      </c>
      <c r="C402" s="476"/>
      <c r="D402" s="476"/>
      <c r="E402" s="23">
        <v>0</v>
      </c>
      <c r="F402" s="23">
        <v>7720</v>
      </c>
      <c r="H402" s="23">
        <v>7720</v>
      </c>
      <c r="J402" s="23">
        <v>0</v>
      </c>
    </row>
    <row r="403" spans="1:10" ht="15.95" customHeight="1" x14ac:dyDescent="0.2">
      <c r="A403" s="27" t="s">
        <v>1540</v>
      </c>
      <c r="B403" s="480" t="s">
        <v>1541</v>
      </c>
      <c r="C403" s="476"/>
      <c r="D403" s="476"/>
      <c r="E403" s="23">
        <v>0</v>
      </c>
      <c r="F403" s="23">
        <v>42423.81</v>
      </c>
      <c r="H403" s="23">
        <v>42423.81</v>
      </c>
      <c r="J403" s="23">
        <v>0</v>
      </c>
    </row>
    <row r="404" spans="1:10" ht="15.95" customHeight="1" x14ac:dyDescent="0.2">
      <c r="A404" s="27" t="s">
        <v>1542</v>
      </c>
      <c r="B404" s="480" t="s">
        <v>1543</v>
      </c>
      <c r="C404" s="476"/>
      <c r="D404" s="476"/>
      <c r="E404" s="23">
        <v>0</v>
      </c>
      <c r="F404" s="23">
        <v>70430.05</v>
      </c>
      <c r="H404" s="23">
        <v>70430.05</v>
      </c>
      <c r="J404" s="23">
        <v>0</v>
      </c>
    </row>
    <row r="405" spans="1:10" ht="15.95" customHeight="1" x14ac:dyDescent="0.2">
      <c r="A405" s="27" t="s">
        <v>1544</v>
      </c>
      <c r="B405" s="480" t="s">
        <v>1545</v>
      </c>
      <c r="C405" s="476"/>
      <c r="D405" s="476"/>
      <c r="E405" s="23">
        <v>0</v>
      </c>
      <c r="F405" s="23">
        <v>400</v>
      </c>
      <c r="H405" s="23">
        <v>400</v>
      </c>
      <c r="J405" s="23">
        <v>0</v>
      </c>
    </row>
    <row r="406" spans="1:10" ht="15.95" customHeight="1" x14ac:dyDescent="0.2">
      <c r="A406" s="27" t="s">
        <v>1546</v>
      </c>
      <c r="B406" s="480" t="s">
        <v>1547</v>
      </c>
      <c r="C406" s="476"/>
      <c r="D406" s="476"/>
      <c r="E406" s="23">
        <v>0</v>
      </c>
      <c r="F406" s="23">
        <v>4200</v>
      </c>
      <c r="H406" s="23">
        <v>4200</v>
      </c>
      <c r="J406" s="23">
        <v>0</v>
      </c>
    </row>
    <row r="407" spans="1:10" ht="15.95" customHeight="1" x14ac:dyDescent="0.2">
      <c r="A407" s="27">
        <v>213</v>
      </c>
      <c r="B407" s="480" t="s">
        <v>615</v>
      </c>
      <c r="C407" s="476"/>
      <c r="D407" s="476"/>
      <c r="E407" s="23">
        <v>-1982157.36</v>
      </c>
      <c r="F407" s="23">
        <v>8489319.2100000009</v>
      </c>
      <c r="H407" s="23">
        <v>9230185.8599999994</v>
      </c>
      <c r="J407" s="23">
        <v>-2723024.01</v>
      </c>
    </row>
    <row r="408" spans="1:10" ht="15.95" customHeight="1" x14ac:dyDescent="0.2">
      <c r="A408" s="27">
        <v>21301</v>
      </c>
      <c r="B408" s="480" t="s">
        <v>615</v>
      </c>
      <c r="C408" s="476"/>
      <c r="D408" s="476"/>
      <c r="E408" s="23">
        <v>-1982157.36</v>
      </c>
      <c r="F408" s="23">
        <v>8489319.2100000009</v>
      </c>
      <c r="H408" s="23">
        <v>9230185.8599999994</v>
      </c>
      <c r="J408" s="23">
        <v>-2723024.01</v>
      </c>
    </row>
    <row r="409" spans="1:10" ht="15.95" customHeight="1" x14ac:dyDescent="0.2">
      <c r="A409" s="27">
        <v>2130101</v>
      </c>
      <c r="B409" s="480" t="s">
        <v>615</v>
      </c>
      <c r="C409" s="476"/>
      <c r="D409" s="476"/>
      <c r="E409" s="23">
        <v>-1982157.36</v>
      </c>
      <c r="F409" s="23">
        <v>8489319.2100000009</v>
      </c>
      <c r="H409" s="23">
        <v>9230185.8599999994</v>
      </c>
      <c r="J409" s="23">
        <v>-2723024.01</v>
      </c>
    </row>
    <row r="410" spans="1:10" ht="15.95" customHeight="1" x14ac:dyDescent="0.2">
      <c r="A410" s="27" t="s">
        <v>616</v>
      </c>
      <c r="B410" s="480" t="s">
        <v>617</v>
      </c>
      <c r="C410" s="476"/>
      <c r="D410" s="476"/>
      <c r="E410" s="23">
        <v>0</v>
      </c>
      <c r="F410" s="23">
        <v>6930044.4100000001</v>
      </c>
      <c r="H410" s="23">
        <v>7582835.7699999996</v>
      </c>
      <c r="J410" s="23">
        <v>-652791.36</v>
      </c>
    </row>
    <row r="411" spans="1:10" ht="15.95" customHeight="1" x14ac:dyDescent="0.2">
      <c r="A411" s="27" t="s">
        <v>618</v>
      </c>
      <c r="B411" s="480" t="s">
        <v>619</v>
      </c>
      <c r="C411" s="476"/>
      <c r="D411" s="476"/>
      <c r="E411" s="23">
        <v>0</v>
      </c>
      <c r="F411" s="23">
        <v>1237686.8700000001</v>
      </c>
      <c r="H411" s="23">
        <v>1237686.8700000001</v>
      </c>
      <c r="J411" s="23">
        <v>0</v>
      </c>
    </row>
    <row r="412" spans="1:10" ht="15.95" customHeight="1" x14ac:dyDescent="0.2">
      <c r="A412" s="27" t="s">
        <v>620</v>
      </c>
      <c r="B412" s="480" t="s">
        <v>621</v>
      </c>
      <c r="C412" s="476"/>
      <c r="D412" s="476"/>
      <c r="E412" s="23">
        <v>0</v>
      </c>
      <c r="F412" s="23">
        <v>186540.26</v>
      </c>
      <c r="H412" s="23">
        <v>274765.74</v>
      </c>
      <c r="J412" s="23">
        <v>-88225.48</v>
      </c>
    </row>
    <row r="413" spans="1:10" ht="15.95" customHeight="1" x14ac:dyDescent="0.2">
      <c r="A413" s="27" t="s">
        <v>622</v>
      </c>
      <c r="B413" s="480" t="s">
        <v>623</v>
      </c>
      <c r="C413" s="476"/>
      <c r="D413" s="476"/>
      <c r="E413" s="23">
        <v>-1982157.36</v>
      </c>
      <c r="F413" s="23">
        <v>135047.67000000001</v>
      </c>
      <c r="H413" s="23">
        <v>134897.48000000001</v>
      </c>
      <c r="J413" s="23">
        <v>-1982007.17</v>
      </c>
    </row>
    <row r="414" spans="1:10" ht="15.95" customHeight="1" x14ac:dyDescent="0.2">
      <c r="A414" s="27">
        <v>214</v>
      </c>
      <c r="B414" s="480" t="s">
        <v>628</v>
      </c>
      <c r="C414" s="476"/>
      <c r="D414" s="476"/>
      <c r="E414" s="23">
        <v>-2360319.29</v>
      </c>
      <c r="F414" s="23">
        <v>8891736.5800000001</v>
      </c>
      <c r="H414" s="23">
        <v>8613240.0399999991</v>
      </c>
      <c r="J414" s="23">
        <v>-2081822.75</v>
      </c>
    </row>
    <row r="415" spans="1:10" ht="15.95" customHeight="1" x14ac:dyDescent="0.2">
      <c r="A415" s="27">
        <v>21401</v>
      </c>
      <c r="B415" s="480" t="s">
        <v>628</v>
      </c>
      <c r="C415" s="476"/>
      <c r="D415" s="476"/>
      <c r="E415" s="23">
        <v>-2360319.29</v>
      </c>
      <c r="F415" s="23">
        <v>8891736.5800000001</v>
      </c>
      <c r="H415" s="23">
        <v>8613240.0399999991</v>
      </c>
      <c r="J415" s="23">
        <v>-2081822.75</v>
      </c>
    </row>
    <row r="416" spans="1:10" ht="15.95" customHeight="1" x14ac:dyDescent="0.2">
      <c r="A416" s="27">
        <v>2140101</v>
      </c>
      <c r="B416" s="480" t="s">
        <v>628</v>
      </c>
      <c r="C416" s="476"/>
      <c r="D416" s="476"/>
      <c r="E416" s="23">
        <v>-2360319.29</v>
      </c>
      <c r="F416" s="23">
        <v>8891736.5800000001</v>
      </c>
      <c r="H416" s="23">
        <v>8613240.0399999991</v>
      </c>
      <c r="J416" s="23">
        <v>-2081822.75</v>
      </c>
    </row>
    <row r="417" spans="1:10" ht="15.95" customHeight="1" x14ac:dyDescent="0.2">
      <c r="A417" s="27" t="s">
        <v>629</v>
      </c>
      <c r="B417" s="480" t="s">
        <v>630</v>
      </c>
      <c r="C417" s="476"/>
      <c r="D417" s="476"/>
      <c r="E417" s="23">
        <v>-446315.55</v>
      </c>
      <c r="F417" s="23">
        <v>2609798.27</v>
      </c>
      <c r="H417" s="23">
        <v>2588833.52</v>
      </c>
      <c r="J417" s="23">
        <v>-425350.8</v>
      </c>
    </row>
    <row r="418" spans="1:10" ht="15.95" customHeight="1" x14ac:dyDescent="0.2">
      <c r="A418" s="27" t="s">
        <v>631</v>
      </c>
      <c r="B418" s="480" t="s">
        <v>632</v>
      </c>
      <c r="C418" s="476"/>
      <c r="D418" s="476"/>
      <c r="E418" s="23">
        <v>-166754.6</v>
      </c>
      <c r="F418" s="23">
        <v>729168.68</v>
      </c>
      <c r="H418" s="23">
        <v>662459.6</v>
      </c>
      <c r="J418" s="23">
        <v>-100045.52</v>
      </c>
    </row>
    <row r="419" spans="1:10" ht="27.95" customHeight="1" x14ac:dyDescent="0.2">
      <c r="A419" s="27" t="s">
        <v>633</v>
      </c>
      <c r="B419" s="480" t="s">
        <v>634</v>
      </c>
      <c r="C419" s="476"/>
      <c r="D419" s="476"/>
      <c r="E419" s="23">
        <v>-629815.68000000005</v>
      </c>
      <c r="F419" s="23">
        <v>314907.84000000003</v>
      </c>
      <c r="H419" s="23">
        <v>314907.84000000003</v>
      </c>
      <c r="J419" s="23">
        <v>-629815.68000000005</v>
      </c>
    </row>
    <row r="420" spans="1:10" ht="15.95" customHeight="1" x14ac:dyDescent="0.2">
      <c r="A420" s="484" t="s">
        <v>1446</v>
      </c>
      <c r="B420" s="476"/>
      <c r="C420" s="476"/>
      <c r="D420" s="96" t="s">
        <v>1742</v>
      </c>
      <c r="J420" s="97" t="s">
        <v>1743</v>
      </c>
    </row>
    <row r="421" spans="1:10" ht="20.100000000000001" customHeight="1" x14ac:dyDescent="0.2">
      <c r="A421" s="93" t="s">
        <v>1424</v>
      </c>
      <c r="J421" s="94" t="s">
        <v>1750</v>
      </c>
    </row>
    <row r="422" spans="1:10" ht="15.95" customHeight="1" x14ac:dyDescent="0.2">
      <c r="A422" s="27" t="s">
        <v>1737</v>
      </c>
      <c r="C422" s="27" t="s">
        <v>0</v>
      </c>
      <c r="J422" s="23" t="s">
        <v>1738</v>
      </c>
    </row>
    <row r="423" spans="1:10" ht="14.1" customHeight="1" x14ac:dyDescent="0.2">
      <c r="A423" s="95" t="s">
        <v>1739</v>
      </c>
      <c r="J423" s="23" t="s">
        <v>1740</v>
      </c>
    </row>
    <row r="424" spans="1:10" ht="15" customHeight="1" x14ac:dyDescent="0.2">
      <c r="A424" s="95" t="s">
        <v>1741</v>
      </c>
    </row>
    <row r="425" spans="1:10" ht="23.1" customHeight="1" x14ac:dyDescent="0.2">
      <c r="A425" s="20" t="s">
        <v>55</v>
      </c>
      <c r="B425" s="20" t="s">
        <v>56</v>
      </c>
      <c r="E425" s="21" t="s">
        <v>57</v>
      </c>
      <c r="F425" s="21" t="s">
        <v>58</v>
      </c>
      <c r="H425" s="21" t="s">
        <v>59</v>
      </c>
      <c r="J425" s="21" t="s">
        <v>60</v>
      </c>
    </row>
    <row r="426" spans="1:10" ht="15.95" customHeight="1" x14ac:dyDescent="0.2">
      <c r="A426" s="27" t="s">
        <v>635</v>
      </c>
      <c r="B426" s="480" t="s">
        <v>636</v>
      </c>
      <c r="C426" s="476"/>
      <c r="D426" s="476"/>
      <c r="E426" s="23">
        <v>-253295.68</v>
      </c>
      <c r="F426" s="23">
        <v>2084312.07</v>
      </c>
      <c r="H426" s="23">
        <v>2132354.7000000002</v>
      </c>
      <c r="J426" s="23">
        <v>-301338.31</v>
      </c>
    </row>
    <row r="427" spans="1:10" ht="15.95" customHeight="1" x14ac:dyDescent="0.2">
      <c r="A427" s="27" t="s">
        <v>637</v>
      </c>
      <c r="B427" s="480" t="s">
        <v>638</v>
      </c>
      <c r="C427" s="476"/>
      <c r="D427" s="476"/>
      <c r="E427" s="23">
        <v>-54889.86</v>
      </c>
      <c r="F427" s="23">
        <v>452049.83</v>
      </c>
      <c r="H427" s="23">
        <v>462347.81</v>
      </c>
      <c r="J427" s="23">
        <v>-65187.839999999997</v>
      </c>
    </row>
    <row r="428" spans="1:10" ht="15.95" customHeight="1" x14ac:dyDescent="0.2">
      <c r="A428" s="27" t="s">
        <v>639</v>
      </c>
      <c r="B428" s="480" t="s">
        <v>640</v>
      </c>
      <c r="C428" s="476"/>
      <c r="D428" s="476"/>
      <c r="E428" s="23">
        <v>1177.45</v>
      </c>
      <c r="F428" s="23">
        <v>99263.72</v>
      </c>
      <c r="H428" s="23">
        <v>100703.28</v>
      </c>
      <c r="J428" s="23">
        <v>-262.11</v>
      </c>
    </row>
    <row r="429" spans="1:10" ht="15.95" customHeight="1" x14ac:dyDescent="0.2">
      <c r="A429" s="27" t="s">
        <v>641</v>
      </c>
      <c r="B429" s="480" t="s">
        <v>642</v>
      </c>
      <c r="C429" s="476"/>
      <c r="D429" s="476"/>
      <c r="E429" s="23">
        <v>-110437.46</v>
      </c>
      <c r="F429" s="23">
        <v>672605.93</v>
      </c>
      <c r="H429" s="23">
        <v>639411.01</v>
      </c>
      <c r="J429" s="23">
        <v>-77242.539999999994</v>
      </c>
    </row>
    <row r="430" spans="1:10" ht="15.95" customHeight="1" x14ac:dyDescent="0.2">
      <c r="A430" s="27" t="s">
        <v>643</v>
      </c>
      <c r="B430" s="480" t="s">
        <v>644</v>
      </c>
      <c r="C430" s="476"/>
      <c r="D430" s="476"/>
      <c r="E430" s="23">
        <v>-43769.34</v>
      </c>
      <c r="F430" s="23">
        <v>247693.4</v>
      </c>
      <c r="H430" s="23">
        <v>236436.95</v>
      </c>
      <c r="J430" s="23">
        <v>-32512.89</v>
      </c>
    </row>
    <row r="431" spans="1:10" ht="15.95" customHeight="1" x14ac:dyDescent="0.2">
      <c r="A431" s="27" t="s">
        <v>645</v>
      </c>
      <c r="B431" s="480" t="s">
        <v>646</v>
      </c>
      <c r="C431" s="476"/>
      <c r="D431" s="476"/>
      <c r="E431" s="23">
        <v>-418461.37</v>
      </c>
      <c r="F431" s="23">
        <v>1055383.1399999999</v>
      </c>
      <c r="H431" s="23">
        <v>856324.87</v>
      </c>
      <c r="J431" s="23">
        <v>-219403.1</v>
      </c>
    </row>
    <row r="432" spans="1:10" ht="15.95" customHeight="1" x14ac:dyDescent="0.2">
      <c r="A432" s="27" t="s">
        <v>647</v>
      </c>
      <c r="B432" s="480" t="s">
        <v>648</v>
      </c>
      <c r="C432" s="476"/>
      <c r="D432" s="476"/>
      <c r="E432" s="23">
        <v>-98361.91</v>
      </c>
      <c r="F432" s="23">
        <v>598591.36</v>
      </c>
      <c r="H432" s="23">
        <v>591498.12</v>
      </c>
      <c r="J432" s="23">
        <v>-91268.67</v>
      </c>
    </row>
    <row r="433" spans="1:10" ht="15.95" customHeight="1" x14ac:dyDescent="0.2">
      <c r="A433" s="27" t="s">
        <v>649</v>
      </c>
      <c r="B433" s="480" t="s">
        <v>650</v>
      </c>
      <c r="C433" s="476"/>
      <c r="D433" s="476"/>
      <c r="E433" s="23">
        <v>-83470.55</v>
      </c>
      <c r="F433" s="23">
        <v>0</v>
      </c>
      <c r="H433" s="23">
        <v>0</v>
      </c>
      <c r="J433" s="23">
        <v>-83470.55</v>
      </c>
    </row>
    <row r="434" spans="1:10" ht="15.95" customHeight="1" x14ac:dyDescent="0.2">
      <c r="A434" s="27" t="s">
        <v>651</v>
      </c>
      <c r="B434" s="480" t="s">
        <v>652</v>
      </c>
      <c r="C434" s="476"/>
      <c r="D434" s="476"/>
      <c r="E434" s="23">
        <v>-55924.74</v>
      </c>
      <c r="F434" s="23">
        <v>27962.34</v>
      </c>
      <c r="H434" s="23">
        <v>27962.34</v>
      </c>
      <c r="J434" s="23">
        <v>-55924.74</v>
      </c>
    </row>
    <row r="435" spans="1:10" ht="15.95" customHeight="1" x14ac:dyDescent="0.2">
      <c r="A435" s="27">
        <v>215</v>
      </c>
      <c r="B435" s="480" t="s">
        <v>655</v>
      </c>
      <c r="C435" s="476"/>
      <c r="D435" s="476"/>
      <c r="E435" s="23">
        <v>-506906.06</v>
      </c>
      <c r="F435" s="23">
        <v>1951308.79</v>
      </c>
      <c r="H435" s="23">
        <v>1758137.6</v>
      </c>
      <c r="J435" s="23">
        <v>-313734.87</v>
      </c>
    </row>
    <row r="436" spans="1:10" ht="15.95" customHeight="1" x14ac:dyDescent="0.2">
      <c r="A436" s="27">
        <v>21501</v>
      </c>
      <c r="B436" s="480" t="s">
        <v>655</v>
      </c>
      <c r="C436" s="476"/>
      <c r="D436" s="476"/>
      <c r="E436" s="23">
        <v>-506906.06</v>
      </c>
      <c r="F436" s="23">
        <v>1951308.79</v>
      </c>
      <c r="H436" s="23">
        <v>1758137.6</v>
      </c>
      <c r="J436" s="23">
        <v>-313734.87</v>
      </c>
    </row>
    <row r="437" spans="1:10" ht="15.95" customHeight="1" x14ac:dyDescent="0.2">
      <c r="A437" s="27">
        <v>2150101</v>
      </c>
      <c r="B437" s="480" t="s">
        <v>656</v>
      </c>
      <c r="C437" s="476"/>
      <c r="D437" s="476"/>
      <c r="E437" s="23">
        <v>-462174.06</v>
      </c>
      <c r="F437" s="23">
        <v>1670871.74</v>
      </c>
      <c r="H437" s="23">
        <v>1473371.98</v>
      </c>
      <c r="J437" s="23">
        <v>-264674.3</v>
      </c>
    </row>
    <row r="438" spans="1:10" ht="15.95" customHeight="1" x14ac:dyDescent="0.2">
      <c r="A438" s="27" t="s">
        <v>657</v>
      </c>
      <c r="B438" s="480" t="s">
        <v>658</v>
      </c>
      <c r="C438" s="476"/>
      <c r="D438" s="476"/>
      <c r="E438" s="23">
        <v>0</v>
      </c>
      <c r="F438" s="23">
        <v>600</v>
      </c>
      <c r="H438" s="23">
        <v>720</v>
      </c>
      <c r="J438" s="23">
        <v>-120</v>
      </c>
    </row>
    <row r="439" spans="1:10" ht="15.95" customHeight="1" x14ac:dyDescent="0.2">
      <c r="A439" s="27" t="s">
        <v>659</v>
      </c>
      <c r="B439" s="480" t="s">
        <v>660</v>
      </c>
      <c r="C439" s="476"/>
      <c r="D439" s="476"/>
      <c r="E439" s="23">
        <v>-453702.96</v>
      </c>
      <c r="F439" s="23">
        <v>1451189.35</v>
      </c>
      <c r="H439" s="23">
        <v>1217968.48</v>
      </c>
      <c r="J439" s="23">
        <v>-220482.09</v>
      </c>
    </row>
    <row r="440" spans="1:10" ht="15.95" customHeight="1" x14ac:dyDescent="0.2">
      <c r="A440" s="27" t="s">
        <v>661</v>
      </c>
      <c r="B440" s="480" t="s">
        <v>662</v>
      </c>
      <c r="C440" s="476"/>
      <c r="D440" s="476"/>
      <c r="E440" s="23">
        <v>-3875.02</v>
      </c>
      <c r="F440" s="23">
        <v>10965.42</v>
      </c>
      <c r="H440" s="23">
        <v>9959.51</v>
      </c>
      <c r="J440" s="23">
        <v>-2869.11</v>
      </c>
    </row>
    <row r="441" spans="1:10" ht="15.95" customHeight="1" x14ac:dyDescent="0.2">
      <c r="A441" s="27" t="s">
        <v>663</v>
      </c>
      <c r="B441" s="480" t="s">
        <v>664</v>
      </c>
      <c r="C441" s="476"/>
      <c r="D441" s="476"/>
      <c r="E441" s="23">
        <v>0</v>
      </c>
      <c r="F441" s="23">
        <v>2640.47</v>
      </c>
      <c r="H441" s="23">
        <v>3178.05</v>
      </c>
      <c r="J441" s="23">
        <v>-537.58000000000004</v>
      </c>
    </row>
    <row r="442" spans="1:10" ht="15.95" customHeight="1" x14ac:dyDescent="0.2">
      <c r="A442" s="27" t="s">
        <v>665</v>
      </c>
      <c r="B442" s="480" t="s">
        <v>666</v>
      </c>
      <c r="C442" s="476"/>
      <c r="D442" s="476"/>
      <c r="E442" s="23">
        <v>0</v>
      </c>
      <c r="F442" s="23">
        <v>2389.5</v>
      </c>
      <c r="H442" s="23">
        <v>2871.32</v>
      </c>
      <c r="J442" s="23">
        <v>-481.82</v>
      </c>
    </row>
    <row r="443" spans="1:10" ht="15.95" customHeight="1" x14ac:dyDescent="0.2">
      <c r="A443" s="27" t="s">
        <v>667</v>
      </c>
      <c r="B443" s="480" t="s">
        <v>668</v>
      </c>
      <c r="C443" s="476"/>
      <c r="D443" s="476"/>
      <c r="E443" s="23">
        <v>-2448.29</v>
      </c>
      <c r="F443" s="23">
        <v>9793.16</v>
      </c>
      <c r="H443" s="23">
        <v>7344.87</v>
      </c>
      <c r="J443" s="23">
        <v>0</v>
      </c>
    </row>
    <row r="444" spans="1:10" ht="15.95" customHeight="1" x14ac:dyDescent="0.2">
      <c r="A444" s="27" t="s">
        <v>669</v>
      </c>
      <c r="B444" s="480" t="s">
        <v>670</v>
      </c>
      <c r="C444" s="476"/>
      <c r="D444" s="476"/>
      <c r="E444" s="23">
        <v>-275.76</v>
      </c>
      <c r="F444" s="23">
        <v>155838.65</v>
      </c>
      <c r="H444" s="23">
        <v>179585.53</v>
      </c>
      <c r="J444" s="23">
        <v>-24022.639999999999</v>
      </c>
    </row>
    <row r="445" spans="1:10" ht="15.95" customHeight="1" x14ac:dyDescent="0.2">
      <c r="A445" s="27" t="s">
        <v>671</v>
      </c>
      <c r="B445" s="480" t="s">
        <v>672</v>
      </c>
      <c r="C445" s="476"/>
      <c r="D445" s="476"/>
      <c r="E445" s="23">
        <v>0</v>
      </c>
      <c r="F445" s="23">
        <v>27574.36</v>
      </c>
      <c r="H445" s="23">
        <v>42407.78</v>
      </c>
      <c r="J445" s="23">
        <v>-14833.42</v>
      </c>
    </row>
    <row r="446" spans="1:10" ht="15.95" customHeight="1" x14ac:dyDescent="0.2">
      <c r="A446" s="27" t="s">
        <v>673</v>
      </c>
      <c r="B446" s="480" t="s">
        <v>674</v>
      </c>
      <c r="C446" s="476"/>
      <c r="D446" s="476"/>
      <c r="E446" s="23">
        <v>-600</v>
      </c>
      <c r="F446" s="23">
        <v>1200</v>
      </c>
      <c r="H446" s="23">
        <v>1400</v>
      </c>
      <c r="J446" s="23">
        <v>-800</v>
      </c>
    </row>
    <row r="447" spans="1:10" ht="15.95" customHeight="1" x14ac:dyDescent="0.2">
      <c r="A447" s="27" t="s">
        <v>675</v>
      </c>
      <c r="B447" s="480" t="s">
        <v>676</v>
      </c>
      <c r="C447" s="476"/>
      <c r="D447" s="476"/>
      <c r="E447" s="23">
        <v>-47.2</v>
      </c>
      <c r="F447" s="23">
        <v>236</v>
      </c>
      <c r="H447" s="23">
        <v>283.2</v>
      </c>
      <c r="J447" s="23">
        <v>-94.4</v>
      </c>
    </row>
    <row r="448" spans="1:10" ht="15.95" customHeight="1" x14ac:dyDescent="0.2">
      <c r="A448" s="27" t="s">
        <v>677</v>
      </c>
      <c r="B448" s="480" t="s">
        <v>678</v>
      </c>
      <c r="C448" s="476"/>
      <c r="D448" s="476"/>
      <c r="E448" s="23">
        <v>-1224.83</v>
      </c>
      <c r="F448" s="23">
        <v>8444.83</v>
      </c>
      <c r="H448" s="23">
        <v>7653.24</v>
      </c>
      <c r="J448" s="23">
        <v>-433.24</v>
      </c>
    </row>
    <row r="449" spans="1:10" ht="15.95" customHeight="1" x14ac:dyDescent="0.2">
      <c r="A449" s="27">
        <v>2150102</v>
      </c>
      <c r="B449" s="480" t="s">
        <v>679</v>
      </c>
      <c r="C449" s="476"/>
      <c r="D449" s="476"/>
      <c r="E449" s="23">
        <v>-44732</v>
      </c>
      <c r="F449" s="23">
        <v>280437.05</v>
      </c>
      <c r="H449" s="23">
        <v>284765.62</v>
      </c>
      <c r="J449" s="23">
        <v>-49060.57</v>
      </c>
    </row>
    <row r="450" spans="1:10" ht="15.95" customHeight="1" x14ac:dyDescent="0.2">
      <c r="A450" s="27" t="s">
        <v>680</v>
      </c>
      <c r="B450" s="480" t="s">
        <v>681</v>
      </c>
      <c r="C450" s="476"/>
      <c r="D450" s="476"/>
      <c r="E450" s="23">
        <v>-35831</v>
      </c>
      <c r="F450" s="23">
        <v>202049.35</v>
      </c>
      <c r="H450" s="23">
        <v>200142.6</v>
      </c>
      <c r="J450" s="23">
        <v>-33924.25</v>
      </c>
    </row>
    <row r="451" spans="1:10" ht="15.95" customHeight="1" x14ac:dyDescent="0.2">
      <c r="A451" s="27" t="s">
        <v>682</v>
      </c>
      <c r="B451" s="480" t="s">
        <v>683</v>
      </c>
      <c r="C451" s="476"/>
      <c r="D451" s="476"/>
      <c r="E451" s="23">
        <v>-8901</v>
      </c>
      <c r="F451" s="23">
        <v>57268</v>
      </c>
      <c r="H451" s="23">
        <v>60180.08</v>
      </c>
      <c r="J451" s="23">
        <v>-11813.08</v>
      </c>
    </row>
    <row r="452" spans="1:10" ht="15.95" customHeight="1" x14ac:dyDescent="0.2">
      <c r="A452" s="27" t="s">
        <v>684</v>
      </c>
      <c r="B452" s="480" t="s">
        <v>685</v>
      </c>
      <c r="C452" s="476"/>
      <c r="D452" s="476"/>
      <c r="E452" s="23">
        <v>0</v>
      </c>
      <c r="F452" s="23">
        <v>21119.7</v>
      </c>
      <c r="H452" s="23">
        <v>24442.94</v>
      </c>
      <c r="J452" s="23">
        <v>-3323.24</v>
      </c>
    </row>
    <row r="453" spans="1:10" ht="15.95" customHeight="1" x14ac:dyDescent="0.2">
      <c r="A453" s="27">
        <v>217</v>
      </c>
      <c r="B453" s="480" t="s">
        <v>686</v>
      </c>
      <c r="C453" s="476"/>
      <c r="D453" s="476"/>
      <c r="E453" s="23">
        <v>-4679363.9000000004</v>
      </c>
      <c r="F453" s="23">
        <v>1226222.55</v>
      </c>
      <c r="H453" s="23">
        <v>394765.86</v>
      </c>
      <c r="J453" s="23">
        <v>-3847907.21</v>
      </c>
    </row>
    <row r="454" spans="1:10" ht="15.95" customHeight="1" x14ac:dyDescent="0.2">
      <c r="A454" s="27">
        <v>21701</v>
      </c>
      <c r="B454" s="480" t="s">
        <v>686</v>
      </c>
      <c r="C454" s="476"/>
      <c r="D454" s="476"/>
      <c r="E454" s="23">
        <v>-4679363.9000000004</v>
      </c>
      <c r="F454" s="23">
        <v>1226222.55</v>
      </c>
      <c r="H454" s="23">
        <v>394765.86</v>
      </c>
      <c r="J454" s="23">
        <v>-3847907.21</v>
      </c>
    </row>
    <row r="455" spans="1:10" ht="15.95" customHeight="1" x14ac:dyDescent="0.2">
      <c r="A455" s="27">
        <v>2170101</v>
      </c>
      <c r="B455" s="480" t="s">
        <v>687</v>
      </c>
      <c r="C455" s="476"/>
      <c r="D455" s="476"/>
      <c r="E455" s="23">
        <v>-23810.44</v>
      </c>
      <c r="F455" s="23">
        <v>16062</v>
      </c>
      <c r="H455" s="23">
        <v>16062</v>
      </c>
      <c r="J455" s="23">
        <v>-23810.44</v>
      </c>
    </row>
    <row r="456" spans="1:10" ht="15.95" customHeight="1" x14ac:dyDescent="0.2">
      <c r="A456" s="27" t="s">
        <v>688</v>
      </c>
      <c r="B456" s="480" t="s">
        <v>689</v>
      </c>
      <c r="C456" s="476"/>
      <c r="D456" s="476"/>
      <c r="E456" s="23">
        <v>-6700</v>
      </c>
      <c r="F456" s="23">
        <v>0</v>
      </c>
      <c r="H456" s="23">
        <v>0</v>
      </c>
      <c r="J456" s="23">
        <v>-6700</v>
      </c>
    </row>
    <row r="457" spans="1:10" ht="15.95" customHeight="1" x14ac:dyDescent="0.2">
      <c r="A457" s="27" t="s">
        <v>690</v>
      </c>
      <c r="B457" s="480" t="s">
        <v>691</v>
      </c>
      <c r="C457" s="476"/>
      <c r="D457" s="476"/>
      <c r="E457" s="23">
        <v>-3115</v>
      </c>
      <c r="F457" s="23">
        <v>0</v>
      </c>
      <c r="H457" s="23">
        <v>0</v>
      </c>
      <c r="J457" s="23">
        <v>-3115</v>
      </c>
    </row>
    <row r="458" spans="1:10" ht="15.95" customHeight="1" x14ac:dyDescent="0.2">
      <c r="A458" s="27" t="s">
        <v>692</v>
      </c>
      <c r="B458" s="480" t="s">
        <v>693</v>
      </c>
      <c r="C458" s="476"/>
      <c r="D458" s="476"/>
      <c r="E458" s="23">
        <v>-2856</v>
      </c>
      <c r="F458" s="23">
        <v>0</v>
      </c>
      <c r="H458" s="23">
        <v>0</v>
      </c>
      <c r="J458" s="23">
        <v>-2856</v>
      </c>
    </row>
    <row r="459" spans="1:10" ht="15.95" customHeight="1" x14ac:dyDescent="0.2">
      <c r="A459" s="27" t="s">
        <v>694</v>
      </c>
      <c r="B459" s="480" t="s">
        <v>695</v>
      </c>
      <c r="C459" s="476"/>
      <c r="D459" s="476"/>
      <c r="E459" s="23">
        <v>-2000</v>
      </c>
      <c r="F459" s="23">
        <v>0</v>
      </c>
      <c r="H459" s="23">
        <v>0</v>
      </c>
      <c r="J459" s="23">
        <v>-2000</v>
      </c>
    </row>
    <row r="460" spans="1:10" ht="15.95" customHeight="1" x14ac:dyDescent="0.2">
      <c r="A460" s="27" t="s">
        <v>696</v>
      </c>
      <c r="B460" s="480" t="s">
        <v>697</v>
      </c>
      <c r="C460" s="476"/>
      <c r="D460" s="476"/>
      <c r="E460" s="23">
        <v>-5899.2</v>
      </c>
      <c r="F460" s="23">
        <v>0</v>
      </c>
      <c r="H460" s="23">
        <v>0</v>
      </c>
      <c r="J460" s="23">
        <v>-5899.2</v>
      </c>
    </row>
    <row r="461" spans="1:10" ht="15.95" customHeight="1" x14ac:dyDescent="0.2">
      <c r="A461" s="27" t="s">
        <v>698</v>
      </c>
      <c r="B461" s="480" t="s">
        <v>699</v>
      </c>
      <c r="C461" s="476"/>
      <c r="D461" s="476"/>
      <c r="E461" s="23">
        <v>-840.24</v>
      </c>
      <c r="F461" s="23">
        <v>0</v>
      </c>
      <c r="H461" s="23">
        <v>0</v>
      </c>
      <c r="J461" s="23">
        <v>-840.24</v>
      </c>
    </row>
    <row r="462" spans="1:10" ht="15.95" customHeight="1" x14ac:dyDescent="0.2">
      <c r="A462" s="27" t="s">
        <v>700</v>
      </c>
      <c r="B462" s="480" t="s">
        <v>701</v>
      </c>
      <c r="C462" s="476"/>
      <c r="D462" s="476"/>
      <c r="E462" s="23">
        <v>-2400</v>
      </c>
      <c r="F462" s="23">
        <v>16062</v>
      </c>
      <c r="H462" s="23">
        <v>16062</v>
      </c>
      <c r="J462" s="23">
        <v>-2400</v>
      </c>
    </row>
    <row r="463" spans="1:10" ht="15.95" customHeight="1" x14ac:dyDescent="0.2">
      <c r="A463" s="27">
        <v>2170102</v>
      </c>
      <c r="B463" s="480" t="s">
        <v>710</v>
      </c>
      <c r="C463" s="476"/>
      <c r="D463" s="476"/>
      <c r="E463" s="23">
        <v>-1870407.09</v>
      </c>
      <c r="F463" s="23">
        <v>1203001.43</v>
      </c>
      <c r="H463" s="23">
        <v>369751.19</v>
      </c>
      <c r="J463" s="23">
        <v>-1037156.85</v>
      </c>
    </row>
    <row r="464" spans="1:10" ht="15.95" customHeight="1" x14ac:dyDescent="0.2">
      <c r="A464" s="27" t="s">
        <v>711</v>
      </c>
      <c r="B464" s="480" t="s">
        <v>712</v>
      </c>
      <c r="C464" s="476"/>
      <c r="D464" s="476"/>
      <c r="E464" s="23">
        <v>-482690.42</v>
      </c>
      <c r="F464" s="23">
        <v>0</v>
      </c>
      <c r="H464" s="23">
        <v>0</v>
      </c>
      <c r="J464" s="23">
        <v>-482690.42</v>
      </c>
    </row>
    <row r="465" spans="1:10" ht="15.95" customHeight="1" x14ac:dyDescent="0.2">
      <c r="A465" s="27" t="s">
        <v>713</v>
      </c>
      <c r="B465" s="480" t="s">
        <v>714</v>
      </c>
      <c r="C465" s="476"/>
      <c r="D465" s="476"/>
      <c r="E465" s="23">
        <v>-34.72</v>
      </c>
      <c r="F465" s="23">
        <v>0</v>
      </c>
      <c r="H465" s="23">
        <v>0</v>
      </c>
      <c r="J465" s="23">
        <v>-34.72</v>
      </c>
    </row>
    <row r="466" spans="1:10" ht="15.95" customHeight="1" x14ac:dyDescent="0.2">
      <c r="A466" s="27" t="s">
        <v>715</v>
      </c>
      <c r="B466" s="480" t="s">
        <v>716</v>
      </c>
      <c r="C466" s="476"/>
      <c r="D466" s="476"/>
      <c r="E466" s="23">
        <v>-1469</v>
      </c>
      <c r="F466" s="23">
        <v>0</v>
      </c>
      <c r="H466" s="23">
        <v>10249.89</v>
      </c>
      <c r="J466" s="23">
        <v>-11718.89</v>
      </c>
    </row>
    <row r="467" spans="1:10" ht="15.95" customHeight="1" x14ac:dyDescent="0.2">
      <c r="A467" s="27" t="s">
        <v>717</v>
      </c>
      <c r="B467" s="480" t="s">
        <v>718</v>
      </c>
      <c r="C467" s="476"/>
      <c r="D467" s="476"/>
      <c r="E467" s="23">
        <v>-229.87</v>
      </c>
      <c r="F467" s="23">
        <v>0</v>
      </c>
      <c r="H467" s="23">
        <v>0</v>
      </c>
      <c r="J467" s="23">
        <v>-229.87</v>
      </c>
    </row>
    <row r="468" spans="1:10" ht="15.95" customHeight="1" x14ac:dyDescent="0.2">
      <c r="A468" s="27" t="s">
        <v>719</v>
      </c>
      <c r="B468" s="480" t="s">
        <v>720</v>
      </c>
      <c r="C468" s="476"/>
      <c r="D468" s="476"/>
      <c r="E468" s="23">
        <v>-3084.5</v>
      </c>
      <c r="F468" s="23">
        <v>0</v>
      </c>
      <c r="H468" s="23">
        <v>0</v>
      </c>
      <c r="J468" s="23">
        <v>-3084.5</v>
      </c>
    </row>
    <row r="469" spans="1:10" ht="15.95" customHeight="1" x14ac:dyDescent="0.2">
      <c r="A469" s="27" t="s">
        <v>721</v>
      </c>
      <c r="B469" s="480" t="s">
        <v>722</v>
      </c>
      <c r="C469" s="476"/>
      <c r="D469" s="476"/>
      <c r="E469" s="23">
        <v>-105.52</v>
      </c>
      <c r="F469" s="23">
        <v>0</v>
      </c>
      <c r="H469" s="23">
        <v>0</v>
      </c>
      <c r="J469" s="23">
        <v>-105.52</v>
      </c>
    </row>
    <row r="470" spans="1:10" ht="15.95" customHeight="1" x14ac:dyDescent="0.2">
      <c r="A470" s="27" t="s">
        <v>723</v>
      </c>
      <c r="B470" s="480" t="s">
        <v>724</v>
      </c>
      <c r="C470" s="476"/>
      <c r="D470" s="476"/>
      <c r="E470" s="23">
        <v>-300000</v>
      </c>
      <c r="F470" s="23">
        <v>364837.23</v>
      </c>
      <c r="H470" s="23">
        <v>64837.23</v>
      </c>
      <c r="J470" s="23">
        <v>0</v>
      </c>
    </row>
    <row r="471" spans="1:10" ht="15.95" customHeight="1" x14ac:dyDescent="0.2">
      <c r="A471" s="27" t="s">
        <v>725</v>
      </c>
      <c r="B471" s="480" t="s">
        <v>726</v>
      </c>
      <c r="C471" s="476"/>
      <c r="D471" s="476"/>
      <c r="E471" s="23">
        <v>-196.05</v>
      </c>
      <c r="F471" s="23">
        <v>0</v>
      </c>
      <c r="H471" s="23">
        <v>0</v>
      </c>
      <c r="J471" s="23">
        <v>-196.05</v>
      </c>
    </row>
    <row r="472" spans="1:10" ht="15.95" customHeight="1" x14ac:dyDescent="0.2">
      <c r="A472" s="27" t="s">
        <v>727</v>
      </c>
      <c r="B472" s="480" t="s">
        <v>728</v>
      </c>
      <c r="C472" s="476"/>
      <c r="D472" s="476"/>
      <c r="E472" s="23">
        <v>-304.98</v>
      </c>
      <c r="F472" s="23">
        <v>0</v>
      </c>
      <c r="H472" s="23">
        <v>0</v>
      </c>
      <c r="J472" s="23">
        <v>-304.98</v>
      </c>
    </row>
    <row r="473" spans="1:10" ht="15.95" customHeight="1" x14ac:dyDescent="0.2">
      <c r="A473" s="27" t="s">
        <v>729</v>
      </c>
      <c r="B473" s="480" t="s">
        <v>730</v>
      </c>
      <c r="C473" s="476"/>
      <c r="D473" s="476"/>
      <c r="E473" s="23">
        <v>-6</v>
      </c>
      <c r="F473" s="23">
        <v>0</v>
      </c>
      <c r="H473" s="23">
        <v>0</v>
      </c>
      <c r="J473" s="23">
        <v>-6</v>
      </c>
    </row>
    <row r="474" spans="1:10" ht="15.95" customHeight="1" x14ac:dyDescent="0.2">
      <c r="A474" s="27" t="s">
        <v>731</v>
      </c>
      <c r="B474" s="480" t="s">
        <v>732</v>
      </c>
      <c r="C474" s="476"/>
      <c r="D474" s="476"/>
      <c r="E474" s="23">
        <v>-203708.46</v>
      </c>
      <c r="F474" s="23">
        <v>304193.13</v>
      </c>
      <c r="H474" s="23">
        <v>101397.11</v>
      </c>
      <c r="J474" s="23">
        <v>-912.44</v>
      </c>
    </row>
    <row r="475" spans="1:10" ht="15.95" customHeight="1" x14ac:dyDescent="0.2">
      <c r="A475" s="27" t="s">
        <v>733</v>
      </c>
      <c r="B475" s="480" t="s">
        <v>734</v>
      </c>
      <c r="C475" s="476"/>
      <c r="D475" s="476"/>
      <c r="E475" s="23">
        <v>0</v>
      </c>
      <c r="F475" s="23">
        <v>2775.25</v>
      </c>
      <c r="H475" s="23">
        <v>3984.3</v>
      </c>
      <c r="J475" s="23">
        <v>-1209.05</v>
      </c>
    </row>
    <row r="476" spans="1:10" ht="15.95" customHeight="1" x14ac:dyDescent="0.2">
      <c r="A476" s="27" t="s">
        <v>735</v>
      </c>
      <c r="B476" s="480" t="s">
        <v>736</v>
      </c>
      <c r="C476" s="476"/>
      <c r="D476" s="476"/>
      <c r="E476" s="23">
        <v>-76.84</v>
      </c>
      <c r="F476" s="23">
        <v>0</v>
      </c>
      <c r="H476" s="23">
        <v>0</v>
      </c>
      <c r="J476" s="23">
        <v>-76.84</v>
      </c>
    </row>
    <row r="477" spans="1:10" ht="15.95" customHeight="1" x14ac:dyDescent="0.2">
      <c r="A477" s="27" t="s">
        <v>737</v>
      </c>
      <c r="B477" s="480" t="s">
        <v>738</v>
      </c>
      <c r="C477" s="476"/>
      <c r="D477" s="476"/>
      <c r="E477" s="23">
        <v>-144.33000000000001</v>
      </c>
      <c r="F477" s="23">
        <v>0</v>
      </c>
      <c r="H477" s="23">
        <v>0</v>
      </c>
      <c r="J477" s="23">
        <v>-144.33000000000001</v>
      </c>
    </row>
    <row r="478" spans="1:10" ht="15.95" customHeight="1" x14ac:dyDescent="0.2">
      <c r="A478" s="27" t="s">
        <v>739</v>
      </c>
      <c r="B478" s="480" t="s">
        <v>740</v>
      </c>
      <c r="C478" s="476"/>
      <c r="D478" s="476"/>
      <c r="E478" s="23">
        <v>-175.2</v>
      </c>
      <c r="F478" s="23">
        <v>0</v>
      </c>
      <c r="H478" s="23">
        <v>0</v>
      </c>
      <c r="J478" s="23">
        <v>-175.2</v>
      </c>
    </row>
    <row r="479" spans="1:10" ht="27.95" customHeight="1" x14ac:dyDescent="0.2">
      <c r="A479" s="27" t="s">
        <v>741</v>
      </c>
      <c r="B479" s="480" t="s">
        <v>742</v>
      </c>
      <c r="C479" s="476"/>
      <c r="D479" s="476"/>
      <c r="E479" s="23">
        <v>-436.29</v>
      </c>
      <c r="F479" s="23">
        <v>0</v>
      </c>
      <c r="H479" s="23">
        <v>0</v>
      </c>
      <c r="J479" s="23">
        <v>-436.29</v>
      </c>
    </row>
    <row r="480" spans="1:10" ht="15.95" customHeight="1" x14ac:dyDescent="0.2">
      <c r="A480" s="484" t="s">
        <v>1446</v>
      </c>
      <c r="B480" s="476"/>
      <c r="C480" s="476"/>
      <c r="D480" s="96" t="s">
        <v>1742</v>
      </c>
      <c r="J480" s="97" t="s">
        <v>1743</v>
      </c>
    </row>
    <row r="481" spans="1:10" ht="20.100000000000001" customHeight="1" x14ac:dyDescent="0.2">
      <c r="A481" s="93" t="s">
        <v>1424</v>
      </c>
      <c r="J481" s="94" t="s">
        <v>1751</v>
      </c>
    </row>
    <row r="482" spans="1:10" ht="15.95" customHeight="1" x14ac:dyDescent="0.2">
      <c r="A482" s="27" t="s">
        <v>1737</v>
      </c>
      <c r="C482" s="27" t="s">
        <v>0</v>
      </c>
      <c r="J482" s="23" t="s">
        <v>1738</v>
      </c>
    </row>
    <row r="483" spans="1:10" ht="14.1" customHeight="1" x14ac:dyDescent="0.2">
      <c r="A483" s="95" t="s">
        <v>1739</v>
      </c>
      <c r="J483" s="23" t="s">
        <v>1740</v>
      </c>
    </row>
    <row r="484" spans="1:10" ht="15" customHeight="1" x14ac:dyDescent="0.2">
      <c r="A484" s="95" t="s">
        <v>1741</v>
      </c>
    </row>
    <row r="485" spans="1:10" ht="23.1" customHeight="1" x14ac:dyDescent="0.2">
      <c r="A485" s="20" t="s">
        <v>55</v>
      </c>
      <c r="B485" s="20" t="s">
        <v>56</v>
      </c>
      <c r="E485" s="21" t="s">
        <v>57</v>
      </c>
      <c r="F485" s="21" t="s">
        <v>58</v>
      </c>
      <c r="H485" s="21" t="s">
        <v>59</v>
      </c>
      <c r="J485" s="21" t="s">
        <v>60</v>
      </c>
    </row>
    <row r="486" spans="1:10" ht="15.95" customHeight="1" x14ac:dyDescent="0.2">
      <c r="A486" s="27" t="s">
        <v>743</v>
      </c>
      <c r="B486" s="480" t="s">
        <v>744</v>
      </c>
      <c r="C486" s="476"/>
      <c r="D486" s="476"/>
      <c r="E486" s="23">
        <v>-67.010000000000005</v>
      </c>
      <c r="F486" s="23">
        <v>0</v>
      </c>
      <c r="H486" s="23">
        <v>0</v>
      </c>
      <c r="J486" s="23">
        <v>-67.010000000000005</v>
      </c>
    </row>
    <row r="487" spans="1:10" ht="15.95" customHeight="1" x14ac:dyDescent="0.2">
      <c r="A487" s="27" t="s">
        <v>745</v>
      </c>
      <c r="B487" s="480" t="s">
        <v>746</v>
      </c>
      <c r="C487" s="476"/>
      <c r="D487" s="476"/>
      <c r="E487" s="23">
        <v>-4644.84</v>
      </c>
      <c r="F487" s="23">
        <v>0</v>
      </c>
      <c r="H487" s="23">
        <v>0</v>
      </c>
      <c r="J487" s="23">
        <v>-4644.84</v>
      </c>
    </row>
    <row r="488" spans="1:10" ht="15.95" customHeight="1" x14ac:dyDescent="0.2">
      <c r="A488" s="27" t="s">
        <v>747</v>
      </c>
      <c r="B488" s="480" t="s">
        <v>748</v>
      </c>
      <c r="C488" s="476"/>
      <c r="D488" s="476"/>
      <c r="E488" s="23">
        <v>-423.16</v>
      </c>
      <c r="F488" s="23">
        <v>0</v>
      </c>
      <c r="H488" s="23">
        <v>0</v>
      </c>
      <c r="J488" s="23">
        <v>-423.16</v>
      </c>
    </row>
    <row r="489" spans="1:10" ht="15.95" customHeight="1" x14ac:dyDescent="0.2">
      <c r="A489" s="27" t="s">
        <v>749</v>
      </c>
      <c r="B489" s="480" t="s">
        <v>750</v>
      </c>
      <c r="C489" s="476"/>
      <c r="D489" s="476"/>
      <c r="E489" s="23">
        <v>-904.46</v>
      </c>
      <c r="F489" s="23">
        <v>0</v>
      </c>
      <c r="H489" s="23">
        <v>0</v>
      </c>
      <c r="J489" s="23">
        <v>-904.46</v>
      </c>
    </row>
    <row r="490" spans="1:10" ht="15.95" customHeight="1" x14ac:dyDescent="0.2">
      <c r="A490" s="27" t="s">
        <v>751</v>
      </c>
      <c r="B490" s="480" t="s">
        <v>752</v>
      </c>
      <c r="C490" s="476"/>
      <c r="D490" s="476"/>
      <c r="E490" s="23">
        <v>-76.56</v>
      </c>
      <c r="F490" s="23">
        <v>0</v>
      </c>
      <c r="H490" s="23">
        <v>0</v>
      </c>
      <c r="J490" s="23">
        <v>-76.56</v>
      </c>
    </row>
    <row r="491" spans="1:10" ht="15.95" customHeight="1" x14ac:dyDescent="0.2">
      <c r="A491" s="27" t="s">
        <v>753</v>
      </c>
      <c r="B491" s="480" t="s">
        <v>754</v>
      </c>
      <c r="C491" s="476"/>
      <c r="D491" s="476"/>
      <c r="E491" s="23">
        <v>-2843.92</v>
      </c>
      <c r="F491" s="23">
        <v>0</v>
      </c>
      <c r="H491" s="23">
        <v>0</v>
      </c>
      <c r="J491" s="23">
        <v>-2843.92</v>
      </c>
    </row>
    <row r="492" spans="1:10" ht="15.95" customHeight="1" x14ac:dyDescent="0.2">
      <c r="A492" s="27" t="s">
        <v>755</v>
      </c>
      <c r="B492" s="480" t="s">
        <v>756</v>
      </c>
      <c r="C492" s="476"/>
      <c r="D492" s="476"/>
      <c r="E492" s="23">
        <v>-274.92</v>
      </c>
      <c r="F492" s="23">
        <v>0</v>
      </c>
      <c r="H492" s="23">
        <v>0</v>
      </c>
      <c r="J492" s="23">
        <v>-274.92</v>
      </c>
    </row>
    <row r="493" spans="1:10" ht="15.95" customHeight="1" x14ac:dyDescent="0.2">
      <c r="A493" s="27" t="s">
        <v>757</v>
      </c>
      <c r="B493" s="480" t="s">
        <v>758</v>
      </c>
      <c r="C493" s="476"/>
      <c r="D493" s="476"/>
      <c r="E493" s="23">
        <v>-247</v>
      </c>
      <c r="F493" s="23">
        <v>0</v>
      </c>
      <c r="H493" s="23">
        <v>0</v>
      </c>
      <c r="J493" s="23">
        <v>-247</v>
      </c>
    </row>
    <row r="494" spans="1:10" ht="15.95" customHeight="1" x14ac:dyDescent="0.2">
      <c r="A494" s="27" t="s">
        <v>759</v>
      </c>
      <c r="B494" s="480" t="s">
        <v>760</v>
      </c>
      <c r="C494" s="476"/>
      <c r="D494" s="476"/>
      <c r="E494" s="23">
        <v>-22698.47</v>
      </c>
      <c r="F494" s="23">
        <v>0</v>
      </c>
      <c r="H494" s="23">
        <v>0</v>
      </c>
      <c r="J494" s="23">
        <v>-22698.47</v>
      </c>
    </row>
    <row r="495" spans="1:10" ht="15.95" customHeight="1" x14ac:dyDescent="0.2">
      <c r="A495" s="27" t="s">
        <v>761</v>
      </c>
      <c r="B495" s="480" t="s">
        <v>762</v>
      </c>
      <c r="C495" s="476"/>
      <c r="D495" s="476"/>
      <c r="E495" s="23">
        <v>-338.57</v>
      </c>
      <c r="F495" s="23">
        <v>0</v>
      </c>
      <c r="H495" s="23">
        <v>0</v>
      </c>
      <c r="J495" s="23">
        <v>-338.57</v>
      </c>
    </row>
    <row r="496" spans="1:10" ht="15.95" customHeight="1" x14ac:dyDescent="0.2">
      <c r="A496" s="27" t="s">
        <v>763</v>
      </c>
      <c r="B496" s="480" t="s">
        <v>764</v>
      </c>
      <c r="C496" s="476"/>
      <c r="D496" s="476"/>
      <c r="E496" s="23">
        <v>-111.7</v>
      </c>
      <c r="F496" s="23">
        <v>0</v>
      </c>
      <c r="H496" s="23">
        <v>0</v>
      </c>
      <c r="J496" s="23">
        <v>-111.7</v>
      </c>
    </row>
    <row r="497" spans="1:10" ht="15.95" customHeight="1" x14ac:dyDescent="0.2">
      <c r="A497" s="27" t="s">
        <v>765</v>
      </c>
      <c r="B497" s="480" t="s">
        <v>766</v>
      </c>
      <c r="C497" s="476"/>
      <c r="D497" s="476"/>
      <c r="E497" s="23">
        <v>-3215.85</v>
      </c>
      <c r="F497" s="23">
        <v>0</v>
      </c>
      <c r="H497" s="23">
        <v>0</v>
      </c>
      <c r="J497" s="23">
        <v>-3215.85</v>
      </c>
    </row>
    <row r="498" spans="1:10" ht="15.95" customHeight="1" x14ac:dyDescent="0.2">
      <c r="A498" s="27" t="s">
        <v>767</v>
      </c>
      <c r="B498" s="480" t="s">
        <v>768</v>
      </c>
      <c r="C498" s="476"/>
      <c r="D498" s="476"/>
      <c r="E498" s="23">
        <v>-861.9</v>
      </c>
      <c r="F498" s="23">
        <v>0</v>
      </c>
      <c r="H498" s="23">
        <v>0</v>
      </c>
      <c r="J498" s="23">
        <v>-861.9</v>
      </c>
    </row>
    <row r="499" spans="1:10" ht="15.95" customHeight="1" x14ac:dyDescent="0.2">
      <c r="A499" s="27" t="s">
        <v>769</v>
      </c>
      <c r="B499" s="480" t="s">
        <v>770</v>
      </c>
      <c r="C499" s="476"/>
      <c r="D499" s="476"/>
      <c r="E499" s="23">
        <v>-2028.49</v>
      </c>
      <c r="F499" s="23">
        <v>0</v>
      </c>
      <c r="H499" s="23">
        <v>0</v>
      </c>
      <c r="J499" s="23">
        <v>-2028.49</v>
      </c>
    </row>
    <row r="500" spans="1:10" ht="15.95" customHeight="1" x14ac:dyDescent="0.2">
      <c r="A500" s="27" t="s">
        <v>771</v>
      </c>
      <c r="B500" s="480" t="s">
        <v>772</v>
      </c>
      <c r="C500" s="476"/>
      <c r="D500" s="476"/>
      <c r="E500" s="23">
        <v>-1261.4000000000001</v>
      </c>
      <c r="F500" s="23">
        <v>0</v>
      </c>
      <c r="H500" s="23">
        <v>0</v>
      </c>
      <c r="J500" s="23">
        <v>-1261.4000000000001</v>
      </c>
    </row>
    <row r="501" spans="1:10" ht="15.95" customHeight="1" x14ac:dyDescent="0.2">
      <c r="A501" s="27" t="s">
        <v>773</v>
      </c>
      <c r="B501" s="480" t="s">
        <v>774</v>
      </c>
      <c r="C501" s="476"/>
      <c r="D501" s="476"/>
      <c r="E501" s="23">
        <v>-5180.93</v>
      </c>
      <c r="F501" s="23">
        <v>0</v>
      </c>
      <c r="H501" s="23">
        <v>0</v>
      </c>
      <c r="J501" s="23">
        <v>-5180.93</v>
      </c>
    </row>
    <row r="502" spans="1:10" ht="15.95" customHeight="1" x14ac:dyDescent="0.2">
      <c r="A502" s="27" t="s">
        <v>775</v>
      </c>
      <c r="B502" s="480" t="s">
        <v>776</v>
      </c>
      <c r="C502" s="476"/>
      <c r="D502" s="476"/>
      <c r="E502" s="23">
        <v>-206.2</v>
      </c>
      <c r="F502" s="23">
        <v>0</v>
      </c>
      <c r="H502" s="23">
        <v>0</v>
      </c>
      <c r="J502" s="23">
        <v>-206.2</v>
      </c>
    </row>
    <row r="503" spans="1:10" ht="15.95" customHeight="1" x14ac:dyDescent="0.2">
      <c r="A503" s="27" t="s">
        <v>777</v>
      </c>
      <c r="B503" s="480" t="s">
        <v>778</v>
      </c>
      <c r="C503" s="476"/>
      <c r="D503" s="476"/>
      <c r="E503" s="23">
        <v>-608.96</v>
      </c>
      <c r="F503" s="23">
        <v>0</v>
      </c>
      <c r="H503" s="23">
        <v>0</v>
      </c>
      <c r="J503" s="23">
        <v>-608.96</v>
      </c>
    </row>
    <row r="504" spans="1:10" ht="15.95" customHeight="1" x14ac:dyDescent="0.2">
      <c r="A504" s="27" t="s">
        <v>779</v>
      </c>
      <c r="B504" s="480" t="s">
        <v>780</v>
      </c>
      <c r="C504" s="476"/>
      <c r="D504" s="476"/>
      <c r="E504" s="23">
        <v>-156.04</v>
      </c>
      <c r="F504" s="23">
        <v>0</v>
      </c>
      <c r="H504" s="23">
        <v>0</v>
      </c>
      <c r="J504" s="23">
        <v>-156.04</v>
      </c>
    </row>
    <row r="505" spans="1:10" ht="15.95" customHeight="1" x14ac:dyDescent="0.2">
      <c r="A505" s="27" t="s">
        <v>781</v>
      </c>
      <c r="B505" s="480" t="s">
        <v>782</v>
      </c>
      <c r="C505" s="476"/>
      <c r="D505" s="476"/>
      <c r="E505" s="23">
        <v>-109.84</v>
      </c>
      <c r="F505" s="23">
        <v>0</v>
      </c>
      <c r="H505" s="23">
        <v>0</v>
      </c>
      <c r="J505" s="23">
        <v>-109.84</v>
      </c>
    </row>
    <row r="506" spans="1:10" ht="15.95" customHeight="1" x14ac:dyDescent="0.2">
      <c r="A506" s="27" t="s">
        <v>783</v>
      </c>
      <c r="B506" s="480" t="s">
        <v>784</v>
      </c>
      <c r="C506" s="476"/>
      <c r="D506" s="476"/>
      <c r="E506" s="23">
        <v>-683.35</v>
      </c>
      <c r="F506" s="23">
        <v>0</v>
      </c>
      <c r="H506" s="23">
        <v>0</v>
      </c>
      <c r="J506" s="23">
        <v>-683.35</v>
      </c>
    </row>
    <row r="507" spans="1:10" ht="15.95" customHeight="1" x14ac:dyDescent="0.2">
      <c r="A507" s="27" t="s">
        <v>785</v>
      </c>
      <c r="B507" s="480" t="s">
        <v>786</v>
      </c>
      <c r="C507" s="476"/>
      <c r="D507" s="476"/>
      <c r="E507" s="23">
        <v>-27</v>
      </c>
      <c r="F507" s="23">
        <v>5954.3</v>
      </c>
      <c r="H507" s="23">
        <v>5954.3</v>
      </c>
      <c r="J507" s="23">
        <v>-27</v>
      </c>
    </row>
    <row r="508" spans="1:10" ht="15.95" customHeight="1" x14ac:dyDescent="0.2">
      <c r="A508" s="27" t="s">
        <v>787</v>
      </c>
      <c r="B508" s="480" t="s">
        <v>788</v>
      </c>
      <c r="C508" s="476"/>
      <c r="D508" s="476"/>
      <c r="E508" s="23">
        <v>-45.32</v>
      </c>
      <c r="F508" s="23">
        <v>0</v>
      </c>
      <c r="H508" s="23">
        <v>0</v>
      </c>
      <c r="J508" s="23">
        <v>-45.32</v>
      </c>
    </row>
    <row r="509" spans="1:10" ht="15.95" customHeight="1" x14ac:dyDescent="0.2">
      <c r="A509" s="27" t="s">
        <v>789</v>
      </c>
      <c r="B509" s="480" t="s">
        <v>790</v>
      </c>
      <c r="C509" s="476"/>
      <c r="D509" s="476"/>
      <c r="E509" s="23">
        <v>-120.7</v>
      </c>
      <c r="F509" s="23">
        <v>0</v>
      </c>
      <c r="H509" s="23">
        <v>0</v>
      </c>
      <c r="J509" s="23">
        <v>-120.7</v>
      </c>
    </row>
    <row r="510" spans="1:10" ht="15.95" customHeight="1" x14ac:dyDescent="0.2">
      <c r="A510" s="27" t="s">
        <v>791</v>
      </c>
      <c r="B510" s="480" t="s">
        <v>792</v>
      </c>
      <c r="C510" s="476"/>
      <c r="D510" s="476"/>
      <c r="E510" s="23">
        <v>-674.65</v>
      </c>
      <c r="F510" s="23">
        <v>0</v>
      </c>
      <c r="H510" s="23">
        <v>0</v>
      </c>
      <c r="J510" s="23">
        <v>-674.65</v>
      </c>
    </row>
    <row r="511" spans="1:10" ht="15.95" customHeight="1" x14ac:dyDescent="0.2">
      <c r="A511" s="27" t="s">
        <v>793</v>
      </c>
      <c r="B511" s="480" t="s">
        <v>794</v>
      </c>
      <c r="C511" s="476"/>
      <c r="D511" s="476"/>
      <c r="E511" s="23">
        <v>-761.21</v>
      </c>
      <c r="F511" s="23">
        <v>0</v>
      </c>
      <c r="H511" s="23">
        <v>0</v>
      </c>
      <c r="J511" s="23">
        <v>-761.21</v>
      </c>
    </row>
    <row r="512" spans="1:10" ht="15.95" customHeight="1" x14ac:dyDescent="0.2">
      <c r="A512" s="27" t="s">
        <v>795</v>
      </c>
      <c r="B512" s="480" t="s">
        <v>796</v>
      </c>
      <c r="C512" s="476"/>
      <c r="D512" s="476"/>
      <c r="E512" s="23">
        <v>-44.62</v>
      </c>
      <c r="F512" s="23">
        <v>0</v>
      </c>
      <c r="H512" s="23">
        <v>0</v>
      </c>
      <c r="J512" s="23">
        <v>-44.62</v>
      </c>
    </row>
    <row r="513" spans="1:10" ht="15.95" customHeight="1" x14ac:dyDescent="0.2">
      <c r="A513" s="27" t="s">
        <v>797</v>
      </c>
      <c r="B513" s="480" t="s">
        <v>798</v>
      </c>
      <c r="C513" s="476"/>
      <c r="D513" s="476"/>
      <c r="E513" s="23">
        <v>-210.27</v>
      </c>
      <c r="F513" s="23">
        <v>0</v>
      </c>
      <c r="H513" s="23">
        <v>0</v>
      </c>
      <c r="J513" s="23">
        <v>-210.27</v>
      </c>
    </row>
    <row r="514" spans="1:10" ht="15.95" customHeight="1" x14ac:dyDescent="0.2">
      <c r="A514" s="27" t="s">
        <v>799</v>
      </c>
      <c r="B514" s="480" t="s">
        <v>800</v>
      </c>
      <c r="C514" s="476"/>
      <c r="D514" s="476"/>
      <c r="E514" s="23">
        <v>-2590.5</v>
      </c>
      <c r="F514" s="23">
        <v>0</v>
      </c>
      <c r="H514" s="23">
        <v>0</v>
      </c>
      <c r="J514" s="23">
        <v>-2590.5</v>
      </c>
    </row>
    <row r="515" spans="1:10" ht="15.95" customHeight="1" x14ac:dyDescent="0.2">
      <c r="A515" s="27" t="s">
        <v>801</v>
      </c>
      <c r="B515" s="480" t="s">
        <v>802</v>
      </c>
      <c r="C515" s="476"/>
      <c r="D515" s="476"/>
      <c r="E515" s="23">
        <v>-57.77</v>
      </c>
      <c r="F515" s="23">
        <v>0</v>
      </c>
      <c r="H515" s="23">
        <v>0</v>
      </c>
      <c r="J515" s="23">
        <v>-57.77</v>
      </c>
    </row>
    <row r="516" spans="1:10" ht="15.95" customHeight="1" x14ac:dyDescent="0.2">
      <c r="A516" s="27" t="s">
        <v>803</v>
      </c>
      <c r="B516" s="480" t="s">
        <v>804</v>
      </c>
      <c r="C516" s="476"/>
      <c r="D516" s="476"/>
      <c r="E516" s="23">
        <v>-384.27</v>
      </c>
      <c r="F516" s="23">
        <v>0</v>
      </c>
      <c r="H516" s="23">
        <v>0</v>
      </c>
      <c r="J516" s="23">
        <v>-384.27</v>
      </c>
    </row>
    <row r="517" spans="1:10" ht="15.95" customHeight="1" x14ac:dyDescent="0.2">
      <c r="A517" s="27" t="s">
        <v>805</v>
      </c>
      <c r="B517" s="480" t="s">
        <v>806</v>
      </c>
      <c r="C517" s="476"/>
      <c r="D517" s="476"/>
      <c r="E517" s="23">
        <v>-35.020000000000003</v>
      </c>
      <c r="F517" s="23">
        <v>0</v>
      </c>
      <c r="H517" s="23">
        <v>0</v>
      </c>
      <c r="J517" s="23">
        <v>-35.020000000000003</v>
      </c>
    </row>
    <row r="518" spans="1:10" ht="15.95" customHeight="1" x14ac:dyDescent="0.2">
      <c r="A518" s="27" t="s">
        <v>807</v>
      </c>
      <c r="B518" s="480" t="s">
        <v>808</v>
      </c>
      <c r="C518" s="476"/>
      <c r="D518" s="476"/>
      <c r="E518" s="23">
        <v>-2538.48</v>
      </c>
      <c r="F518" s="23">
        <v>0</v>
      </c>
      <c r="H518" s="23">
        <v>0</v>
      </c>
      <c r="J518" s="23">
        <v>-2538.48</v>
      </c>
    </row>
    <row r="519" spans="1:10" ht="15.95" customHeight="1" x14ac:dyDescent="0.2">
      <c r="A519" s="27" t="s">
        <v>809</v>
      </c>
      <c r="B519" s="480" t="s">
        <v>810</v>
      </c>
      <c r="C519" s="476"/>
      <c r="D519" s="476"/>
      <c r="E519" s="23">
        <v>-64.599999999999994</v>
      </c>
      <c r="F519" s="23">
        <v>0</v>
      </c>
      <c r="H519" s="23">
        <v>0</v>
      </c>
      <c r="J519" s="23">
        <v>-64.599999999999994</v>
      </c>
    </row>
    <row r="520" spans="1:10" ht="15.95" customHeight="1" x14ac:dyDescent="0.2">
      <c r="A520" s="27" t="s">
        <v>811</v>
      </c>
      <c r="B520" s="480" t="s">
        <v>812</v>
      </c>
      <c r="C520" s="476"/>
      <c r="D520" s="476"/>
      <c r="E520" s="23">
        <v>-410.25</v>
      </c>
      <c r="F520" s="23">
        <v>0</v>
      </c>
      <c r="H520" s="23">
        <v>0</v>
      </c>
      <c r="J520" s="23">
        <v>-410.25</v>
      </c>
    </row>
    <row r="521" spans="1:10" ht="15.95" customHeight="1" x14ac:dyDescent="0.2">
      <c r="A521" s="27" t="s">
        <v>813</v>
      </c>
      <c r="B521" s="480" t="s">
        <v>814</v>
      </c>
      <c r="C521" s="476"/>
      <c r="D521" s="476"/>
      <c r="E521" s="23">
        <v>-49.5</v>
      </c>
      <c r="F521" s="23">
        <v>0</v>
      </c>
      <c r="H521" s="23">
        <v>0</v>
      </c>
      <c r="J521" s="23">
        <v>-49.5</v>
      </c>
    </row>
    <row r="522" spans="1:10" ht="15.95" customHeight="1" x14ac:dyDescent="0.2">
      <c r="A522" s="27" t="s">
        <v>815</v>
      </c>
      <c r="B522" s="480" t="s">
        <v>816</v>
      </c>
      <c r="C522" s="476"/>
      <c r="D522" s="476"/>
      <c r="E522" s="23">
        <v>-228.66</v>
      </c>
      <c r="F522" s="23">
        <v>0</v>
      </c>
      <c r="H522" s="23">
        <v>0</v>
      </c>
      <c r="J522" s="23">
        <v>-228.66</v>
      </c>
    </row>
    <row r="523" spans="1:10" ht="15.95" customHeight="1" x14ac:dyDescent="0.2">
      <c r="A523" s="27" t="s">
        <v>817</v>
      </c>
      <c r="B523" s="480" t="s">
        <v>818</v>
      </c>
      <c r="C523" s="476"/>
      <c r="D523" s="476"/>
      <c r="E523" s="23">
        <v>-145.24</v>
      </c>
      <c r="F523" s="23">
        <v>0</v>
      </c>
      <c r="H523" s="23">
        <v>0</v>
      </c>
      <c r="J523" s="23">
        <v>-145.24</v>
      </c>
    </row>
    <row r="524" spans="1:10" ht="15.95" customHeight="1" x14ac:dyDescent="0.2">
      <c r="A524" s="27" t="s">
        <v>819</v>
      </c>
      <c r="B524" s="480" t="s">
        <v>820</v>
      </c>
      <c r="C524" s="476"/>
      <c r="D524" s="476"/>
      <c r="E524" s="23">
        <v>-515.5</v>
      </c>
      <c r="F524" s="23">
        <v>0</v>
      </c>
      <c r="H524" s="23">
        <v>0</v>
      </c>
      <c r="J524" s="23">
        <v>-515.5</v>
      </c>
    </row>
    <row r="525" spans="1:10" ht="15.95" customHeight="1" x14ac:dyDescent="0.2">
      <c r="A525" s="27" t="s">
        <v>821</v>
      </c>
      <c r="B525" s="480" t="s">
        <v>822</v>
      </c>
      <c r="C525" s="476"/>
      <c r="D525" s="476"/>
      <c r="E525" s="23">
        <v>-22.51</v>
      </c>
      <c r="F525" s="23">
        <v>0</v>
      </c>
      <c r="H525" s="23">
        <v>0</v>
      </c>
      <c r="J525" s="23">
        <v>-22.51</v>
      </c>
    </row>
    <row r="526" spans="1:10" ht="15.95" customHeight="1" x14ac:dyDescent="0.2">
      <c r="A526" s="27" t="s">
        <v>823</v>
      </c>
      <c r="B526" s="480" t="s">
        <v>824</v>
      </c>
      <c r="C526" s="476"/>
      <c r="D526" s="476"/>
      <c r="E526" s="23">
        <v>-10</v>
      </c>
      <c r="F526" s="23">
        <v>0</v>
      </c>
      <c r="H526" s="23">
        <v>0</v>
      </c>
      <c r="J526" s="23">
        <v>-10</v>
      </c>
    </row>
    <row r="527" spans="1:10" ht="15.95" customHeight="1" x14ac:dyDescent="0.2">
      <c r="A527" s="27" t="s">
        <v>825</v>
      </c>
      <c r="B527" s="480" t="s">
        <v>826</v>
      </c>
      <c r="C527" s="476"/>
      <c r="D527" s="476"/>
      <c r="E527" s="23">
        <v>-98.32</v>
      </c>
      <c r="F527" s="23">
        <v>0</v>
      </c>
      <c r="H527" s="23">
        <v>0</v>
      </c>
      <c r="J527" s="23">
        <v>-98.32</v>
      </c>
    </row>
    <row r="528" spans="1:10" ht="15.95" customHeight="1" x14ac:dyDescent="0.2">
      <c r="A528" s="27" t="s">
        <v>827</v>
      </c>
      <c r="B528" s="480" t="s">
        <v>828</v>
      </c>
      <c r="C528" s="476"/>
      <c r="D528" s="476"/>
      <c r="E528" s="23">
        <v>-21.62</v>
      </c>
      <c r="F528" s="23">
        <v>0</v>
      </c>
      <c r="H528" s="23">
        <v>0</v>
      </c>
      <c r="J528" s="23">
        <v>-21.62</v>
      </c>
    </row>
    <row r="529" spans="1:10" ht="15.95" customHeight="1" x14ac:dyDescent="0.2">
      <c r="A529" s="27" t="s">
        <v>829</v>
      </c>
      <c r="B529" s="480" t="s">
        <v>830</v>
      </c>
      <c r="C529" s="476"/>
      <c r="D529" s="476"/>
      <c r="E529" s="23">
        <v>-1274.77</v>
      </c>
      <c r="F529" s="23">
        <v>0</v>
      </c>
      <c r="H529" s="23">
        <v>0</v>
      </c>
      <c r="J529" s="23">
        <v>-1274.77</v>
      </c>
    </row>
    <row r="530" spans="1:10" ht="15.95" customHeight="1" x14ac:dyDescent="0.2">
      <c r="A530" s="27" t="s">
        <v>831</v>
      </c>
      <c r="B530" s="480" t="s">
        <v>832</v>
      </c>
      <c r="C530" s="476"/>
      <c r="D530" s="476"/>
      <c r="E530" s="23">
        <v>-170009.81</v>
      </c>
      <c r="F530" s="23">
        <v>0</v>
      </c>
      <c r="H530" s="23">
        <v>0</v>
      </c>
      <c r="J530" s="23">
        <v>-170009.81</v>
      </c>
    </row>
    <row r="531" spans="1:10" ht="15.95" customHeight="1" x14ac:dyDescent="0.2">
      <c r="A531" s="27" t="s">
        <v>833</v>
      </c>
      <c r="B531" s="480" t="s">
        <v>834</v>
      </c>
      <c r="C531" s="476"/>
      <c r="D531" s="476"/>
      <c r="E531" s="23">
        <v>-268.06</v>
      </c>
      <c r="F531" s="23">
        <v>0</v>
      </c>
      <c r="H531" s="23">
        <v>0</v>
      </c>
      <c r="J531" s="23">
        <v>-268.06</v>
      </c>
    </row>
    <row r="532" spans="1:10" ht="15.95" customHeight="1" x14ac:dyDescent="0.2">
      <c r="A532" s="27" t="s">
        <v>835</v>
      </c>
      <c r="B532" s="480" t="s">
        <v>836</v>
      </c>
      <c r="C532" s="476"/>
      <c r="D532" s="476"/>
      <c r="E532" s="23">
        <v>-394.41</v>
      </c>
      <c r="F532" s="23">
        <v>0</v>
      </c>
      <c r="H532" s="23">
        <v>0</v>
      </c>
      <c r="J532" s="23">
        <v>-394.41</v>
      </c>
    </row>
    <row r="533" spans="1:10" ht="15.95" customHeight="1" x14ac:dyDescent="0.2">
      <c r="A533" s="27" t="s">
        <v>837</v>
      </c>
      <c r="B533" s="480" t="s">
        <v>838</v>
      </c>
      <c r="C533" s="476"/>
      <c r="D533" s="476"/>
      <c r="E533" s="23">
        <v>-140.36000000000001</v>
      </c>
      <c r="F533" s="23">
        <v>0</v>
      </c>
      <c r="H533" s="23">
        <v>0</v>
      </c>
      <c r="J533" s="23">
        <v>-140.36000000000001</v>
      </c>
    </row>
    <row r="534" spans="1:10" ht="15.95" customHeight="1" x14ac:dyDescent="0.2">
      <c r="A534" s="27" t="s">
        <v>839</v>
      </c>
      <c r="B534" s="480" t="s">
        <v>840</v>
      </c>
      <c r="C534" s="476"/>
      <c r="D534" s="476"/>
      <c r="E534" s="23">
        <v>-29.76</v>
      </c>
      <c r="F534" s="23">
        <v>0</v>
      </c>
      <c r="H534" s="23">
        <v>0</v>
      </c>
      <c r="J534" s="23">
        <v>-29.76</v>
      </c>
    </row>
    <row r="535" spans="1:10" ht="15.95" customHeight="1" x14ac:dyDescent="0.2">
      <c r="A535" s="27" t="s">
        <v>841</v>
      </c>
      <c r="B535" s="480" t="s">
        <v>842</v>
      </c>
      <c r="C535" s="476"/>
      <c r="D535" s="476"/>
      <c r="E535" s="23">
        <v>-151.47999999999999</v>
      </c>
      <c r="F535" s="23">
        <v>0</v>
      </c>
      <c r="H535" s="23">
        <v>0</v>
      </c>
      <c r="J535" s="23">
        <v>-151.47999999999999</v>
      </c>
    </row>
    <row r="536" spans="1:10" ht="15.95" customHeight="1" x14ac:dyDescent="0.2">
      <c r="A536" s="27" t="s">
        <v>843</v>
      </c>
      <c r="B536" s="480" t="s">
        <v>844</v>
      </c>
      <c r="C536" s="476"/>
      <c r="D536" s="476"/>
      <c r="E536" s="23">
        <v>-11402.28</v>
      </c>
      <c r="F536" s="23">
        <v>0</v>
      </c>
      <c r="H536" s="23">
        <v>0</v>
      </c>
      <c r="J536" s="23">
        <v>-11402.28</v>
      </c>
    </row>
    <row r="537" spans="1:10" ht="15.95" customHeight="1" x14ac:dyDescent="0.2">
      <c r="A537" s="27" t="s">
        <v>847</v>
      </c>
      <c r="B537" s="480" t="s">
        <v>848</v>
      </c>
      <c r="C537" s="476"/>
      <c r="D537" s="476"/>
      <c r="E537" s="23">
        <v>-260.05</v>
      </c>
      <c r="F537" s="23">
        <v>0</v>
      </c>
      <c r="H537" s="23">
        <v>0</v>
      </c>
      <c r="J537" s="23">
        <v>-260.05</v>
      </c>
    </row>
    <row r="538" spans="1:10" ht="15.95" customHeight="1" x14ac:dyDescent="0.2">
      <c r="A538" s="27" t="s">
        <v>849</v>
      </c>
      <c r="B538" s="480" t="s">
        <v>850</v>
      </c>
      <c r="C538" s="476"/>
      <c r="D538" s="476"/>
      <c r="E538" s="23">
        <v>-20.38</v>
      </c>
      <c r="F538" s="23">
        <v>0</v>
      </c>
      <c r="H538" s="23">
        <v>0</v>
      </c>
      <c r="J538" s="23">
        <v>-20.38</v>
      </c>
    </row>
    <row r="539" spans="1:10" ht="27.95" customHeight="1" x14ac:dyDescent="0.2">
      <c r="A539" s="27" t="s">
        <v>851</v>
      </c>
      <c r="B539" s="480" t="s">
        <v>852</v>
      </c>
      <c r="C539" s="476"/>
      <c r="D539" s="476"/>
      <c r="E539" s="23">
        <v>-286.95999999999998</v>
      </c>
      <c r="F539" s="23">
        <v>0</v>
      </c>
      <c r="H539" s="23">
        <v>0</v>
      </c>
      <c r="J539" s="23">
        <v>-286.95999999999998</v>
      </c>
    </row>
    <row r="540" spans="1:10" ht="15.95" customHeight="1" x14ac:dyDescent="0.2">
      <c r="A540" s="484" t="s">
        <v>1446</v>
      </c>
      <c r="B540" s="476"/>
      <c r="C540" s="476"/>
      <c r="D540" s="96" t="s">
        <v>1742</v>
      </c>
      <c r="J540" s="97" t="s">
        <v>1743</v>
      </c>
    </row>
    <row r="541" spans="1:10" ht="20.100000000000001" customHeight="1" x14ac:dyDescent="0.2">
      <c r="A541" s="93" t="s">
        <v>1424</v>
      </c>
      <c r="J541" s="94" t="s">
        <v>1752</v>
      </c>
    </row>
    <row r="542" spans="1:10" ht="15.95" customHeight="1" x14ac:dyDescent="0.2">
      <c r="A542" s="27" t="s">
        <v>1737</v>
      </c>
      <c r="C542" s="27" t="s">
        <v>0</v>
      </c>
      <c r="J542" s="23" t="s">
        <v>1738</v>
      </c>
    </row>
    <row r="543" spans="1:10" ht="14.1" customHeight="1" x14ac:dyDescent="0.2">
      <c r="A543" s="95" t="s">
        <v>1739</v>
      </c>
      <c r="J543" s="23" t="s">
        <v>1740</v>
      </c>
    </row>
    <row r="544" spans="1:10" ht="15" customHeight="1" x14ac:dyDescent="0.2">
      <c r="A544" s="95" t="s">
        <v>1741</v>
      </c>
    </row>
    <row r="545" spans="1:10" ht="23.1" customHeight="1" x14ac:dyDescent="0.2">
      <c r="A545" s="20" t="s">
        <v>55</v>
      </c>
      <c r="B545" s="20" t="s">
        <v>56</v>
      </c>
      <c r="E545" s="21" t="s">
        <v>57</v>
      </c>
      <c r="F545" s="21" t="s">
        <v>58</v>
      </c>
      <c r="H545" s="21" t="s">
        <v>59</v>
      </c>
      <c r="J545" s="21" t="s">
        <v>60</v>
      </c>
    </row>
    <row r="546" spans="1:10" ht="15.95" customHeight="1" x14ac:dyDescent="0.2">
      <c r="A546" s="27" t="s">
        <v>853</v>
      </c>
      <c r="B546" s="480" t="s">
        <v>854</v>
      </c>
      <c r="C546" s="476"/>
      <c r="D546" s="476"/>
      <c r="E546" s="23">
        <v>-633.79999999999995</v>
      </c>
      <c r="F546" s="23">
        <v>0</v>
      </c>
      <c r="H546" s="23">
        <v>0</v>
      </c>
      <c r="J546" s="23">
        <v>-633.79999999999995</v>
      </c>
    </row>
    <row r="547" spans="1:10" ht="15.95" customHeight="1" x14ac:dyDescent="0.2">
      <c r="A547" s="27" t="s">
        <v>855</v>
      </c>
      <c r="B547" s="480" t="s">
        <v>856</v>
      </c>
      <c r="C547" s="476"/>
      <c r="D547" s="476"/>
      <c r="E547" s="23">
        <v>-260.16000000000003</v>
      </c>
      <c r="F547" s="23">
        <v>0</v>
      </c>
      <c r="H547" s="23">
        <v>0</v>
      </c>
      <c r="J547" s="23">
        <v>-260.16000000000003</v>
      </c>
    </row>
    <row r="548" spans="1:10" ht="15.95" customHeight="1" x14ac:dyDescent="0.2">
      <c r="A548" s="27" t="s">
        <v>857</v>
      </c>
      <c r="B548" s="480" t="s">
        <v>858</v>
      </c>
      <c r="C548" s="476"/>
      <c r="D548" s="476"/>
      <c r="E548" s="23">
        <v>-2953.97</v>
      </c>
      <c r="F548" s="23">
        <v>0</v>
      </c>
      <c r="H548" s="23">
        <v>0</v>
      </c>
      <c r="J548" s="23">
        <v>-2953.97</v>
      </c>
    </row>
    <row r="549" spans="1:10" ht="15.95" customHeight="1" x14ac:dyDescent="0.2">
      <c r="A549" s="27" t="s">
        <v>859</v>
      </c>
      <c r="B549" s="480" t="s">
        <v>860</v>
      </c>
      <c r="C549" s="476"/>
      <c r="D549" s="476"/>
      <c r="E549" s="23">
        <v>-2514.64</v>
      </c>
      <c r="F549" s="23">
        <v>0</v>
      </c>
      <c r="H549" s="23">
        <v>0</v>
      </c>
      <c r="J549" s="23">
        <v>-2514.64</v>
      </c>
    </row>
    <row r="550" spans="1:10" ht="15.95" customHeight="1" x14ac:dyDescent="0.2">
      <c r="A550" s="27" t="s">
        <v>861</v>
      </c>
      <c r="B550" s="480" t="s">
        <v>862</v>
      </c>
      <c r="C550" s="476"/>
      <c r="D550" s="476"/>
      <c r="E550" s="23">
        <v>-29.84</v>
      </c>
      <c r="F550" s="23">
        <v>0</v>
      </c>
      <c r="H550" s="23">
        <v>0</v>
      </c>
      <c r="J550" s="23">
        <v>-29.84</v>
      </c>
    </row>
    <row r="551" spans="1:10" ht="15.95" customHeight="1" x14ac:dyDescent="0.2">
      <c r="A551" s="27" t="s">
        <v>863</v>
      </c>
      <c r="B551" s="480" t="s">
        <v>864</v>
      </c>
      <c r="C551" s="476"/>
      <c r="D551" s="476"/>
      <c r="E551" s="23">
        <v>-866.83</v>
      </c>
      <c r="F551" s="23">
        <v>0</v>
      </c>
      <c r="H551" s="23">
        <v>0</v>
      </c>
      <c r="J551" s="23">
        <v>-866.83</v>
      </c>
    </row>
    <row r="552" spans="1:10" ht="15.95" customHeight="1" x14ac:dyDescent="0.2">
      <c r="A552" s="27" t="s">
        <v>865</v>
      </c>
      <c r="B552" s="480" t="s">
        <v>866</v>
      </c>
      <c r="C552" s="476"/>
      <c r="D552" s="476"/>
      <c r="E552" s="23">
        <v>-236.03</v>
      </c>
      <c r="F552" s="23">
        <v>0</v>
      </c>
      <c r="H552" s="23">
        <v>0</v>
      </c>
      <c r="J552" s="23">
        <v>-236.03</v>
      </c>
    </row>
    <row r="553" spans="1:10" ht="15.95" customHeight="1" x14ac:dyDescent="0.2">
      <c r="A553" s="27" t="s">
        <v>867</v>
      </c>
      <c r="B553" s="480" t="s">
        <v>868</v>
      </c>
      <c r="C553" s="476"/>
      <c r="D553" s="476"/>
      <c r="E553" s="23">
        <v>-148.35</v>
      </c>
      <c r="F553" s="23">
        <v>0</v>
      </c>
      <c r="H553" s="23">
        <v>0</v>
      </c>
      <c r="J553" s="23">
        <v>-148.35</v>
      </c>
    </row>
    <row r="554" spans="1:10" ht="15.95" customHeight="1" x14ac:dyDescent="0.2">
      <c r="A554" s="27" t="s">
        <v>871</v>
      </c>
      <c r="B554" s="480" t="s">
        <v>872</v>
      </c>
      <c r="C554" s="476"/>
      <c r="D554" s="476"/>
      <c r="E554" s="23">
        <v>-70.819999999999993</v>
      </c>
      <c r="F554" s="23">
        <v>0</v>
      </c>
      <c r="H554" s="23">
        <v>0</v>
      </c>
      <c r="J554" s="23">
        <v>-70.819999999999993</v>
      </c>
    </row>
    <row r="555" spans="1:10" ht="15.95" customHeight="1" x14ac:dyDescent="0.2">
      <c r="A555" s="27" t="s">
        <v>873</v>
      </c>
      <c r="B555" s="480" t="s">
        <v>874</v>
      </c>
      <c r="C555" s="476"/>
      <c r="D555" s="476"/>
      <c r="E555" s="23">
        <v>-396.38</v>
      </c>
      <c r="F555" s="23">
        <v>0</v>
      </c>
      <c r="H555" s="23">
        <v>0</v>
      </c>
      <c r="J555" s="23">
        <v>-396.38</v>
      </c>
    </row>
    <row r="556" spans="1:10" ht="15.95" customHeight="1" x14ac:dyDescent="0.2">
      <c r="A556" s="27" t="s">
        <v>875</v>
      </c>
      <c r="B556" s="480" t="s">
        <v>876</v>
      </c>
      <c r="C556" s="476"/>
      <c r="D556" s="476"/>
      <c r="E556" s="23">
        <v>-117.09</v>
      </c>
      <c r="F556" s="23">
        <v>0</v>
      </c>
      <c r="H556" s="23">
        <v>0</v>
      </c>
      <c r="J556" s="23">
        <v>-117.09</v>
      </c>
    </row>
    <row r="557" spans="1:10" ht="15.95" customHeight="1" x14ac:dyDescent="0.2">
      <c r="A557" s="27" t="s">
        <v>877</v>
      </c>
      <c r="B557" s="480" t="s">
        <v>878</v>
      </c>
      <c r="C557" s="476"/>
      <c r="D557" s="476"/>
      <c r="E557" s="23">
        <v>-1638.3</v>
      </c>
      <c r="F557" s="23">
        <v>0</v>
      </c>
      <c r="H557" s="23">
        <v>0</v>
      </c>
      <c r="J557" s="23">
        <v>-1638.3</v>
      </c>
    </row>
    <row r="558" spans="1:10" ht="15.95" customHeight="1" x14ac:dyDescent="0.2">
      <c r="A558" s="27" t="s">
        <v>879</v>
      </c>
      <c r="B558" s="480" t="s">
        <v>880</v>
      </c>
      <c r="C558" s="476"/>
      <c r="D558" s="476"/>
      <c r="E558" s="23">
        <v>-13.09</v>
      </c>
      <c r="F558" s="23">
        <v>0</v>
      </c>
      <c r="H558" s="23">
        <v>0</v>
      </c>
      <c r="J558" s="23">
        <v>-13.09</v>
      </c>
    </row>
    <row r="559" spans="1:10" ht="15.95" customHeight="1" x14ac:dyDescent="0.2">
      <c r="A559" s="27" t="s">
        <v>881</v>
      </c>
      <c r="B559" s="480" t="s">
        <v>882</v>
      </c>
      <c r="C559" s="476"/>
      <c r="D559" s="476"/>
      <c r="E559" s="23">
        <v>-164.32</v>
      </c>
      <c r="F559" s="23">
        <v>0</v>
      </c>
      <c r="H559" s="23">
        <v>0</v>
      </c>
      <c r="J559" s="23">
        <v>-164.32</v>
      </c>
    </row>
    <row r="560" spans="1:10" ht="15.95" customHeight="1" x14ac:dyDescent="0.2">
      <c r="A560" s="27" t="s">
        <v>883</v>
      </c>
      <c r="B560" s="480" t="s">
        <v>884</v>
      </c>
      <c r="C560" s="476"/>
      <c r="D560" s="476"/>
      <c r="E560" s="23">
        <v>-1094.4100000000001</v>
      </c>
      <c r="F560" s="23">
        <v>0</v>
      </c>
      <c r="H560" s="23">
        <v>0</v>
      </c>
      <c r="J560" s="23">
        <v>-1094.4100000000001</v>
      </c>
    </row>
    <row r="561" spans="1:10" ht="15.95" customHeight="1" x14ac:dyDescent="0.2">
      <c r="A561" s="27" t="s">
        <v>885</v>
      </c>
      <c r="B561" s="480" t="s">
        <v>886</v>
      </c>
      <c r="C561" s="476"/>
      <c r="D561" s="476"/>
      <c r="E561" s="23">
        <v>-136.56</v>
      </c>
      <c r="F561" s="23">
        <v>0</v>
      </c>
      <c r="H561" s="23">
        <v>0</v>
      </c>
      <c r="J561" s="23">
        <v>-136.56</v>
      </c>
    </row>
    <row r="562" spans="1:10" ht="15.95" customHeight="1" x14ac:dyDescent="0.2">
      <c r="A562" s="27" t="s">
        <v>887</v>
      </c>
      <c r="B562" s="480" t="s">
        <v>888</v>
      </c>
      <c r="C562" s="476"/>
      <c r="D562" s="476"/>
      <c r="E562" s="23">
        <v>-2046.48</v>
      </c>
      <c r="F562" s="23">
        <v>0</v>
      </c>
      <c r="H562" s="23">
        <v>0</v>
      </c>
      <c r="J562" s="23">
        <v>-2046.48</v>
      </c>
    </row>
    <row r="563" spans="1:10" ht="15.95" customHeight="1" x14ac:dyDescent="0.2">
      <c r="A563" s="27" t="s">
        <v>889</v>
      </c>
      <c r="B563" s="480" t="s">
        <v>890</v>
      </c>
      <c r="C563" s="476"/>
      <c r="D563" s="476"/>
      <c r="E563" s="23">
        <v>-2708.77</v>
      </c>
      <c r="F563" s="23">
        <v>0</v>
      </c>
      <c r="H563" s="23">
        <v>0</v>
      </c>
      <c r="J563" s="23">
        <v>-2708.77</v>
      </c>
    </row>
    <row r="564" spans="1:10" ht="15.95" customHeight="1" x14ac:dyDescent="0.2">
      <c r="A564" s="27" t="s">
        <v>891</v>
      </c>
      <c r="B564" s="480" t="s">
        <v>892</v>
      </c>
      <c r="C564" s="476"/>
      <c r="D564" s="476"/>
      <c r="E564" s="23">
        <v>-1092.42</v>
      </c>
      <c r="F564" s="23">
        <v>0</v>
      </c>
      <c r="H564" s="23">
        <v>0</v>
      </c>
      <c r="J564" s="23">
        <v>-1092.42</v>
      </c>
    </row>
    <row r="565" spans="1:10" ht="15.95" customHeight="1" x14ac:dyDescent="0.2">
      <c r="A565" s="27" t="s">
        <v>893</v>
      </c>
      <c r="B565" s="480" t="s">
        <v>894</v>
      </c>
      <c r="C565" s="476"/>
      <c r="D565" s="476"/>
      <c r="E565" s="23">
        <v>-52.6</v>
      </c>
      <c r="F565" s="23">
        <v>0</v>
      </c>
      <c r="H565" s="23">
        <v>0</v>
      </c>
      <c r="J565" s="23">
        <v>-52.6</v>
      </c>
    </row>
    <row r="566" spans="1:10" ht="15.95" customHeight="1" x14ac:dyDescent="0.2">
      <c r="A566" s="27" t="s">
        <v>895</v>
      </c>
      <c r="B566" s="480" t="s">
        <v>896</v>
      </c>
      <c r="C566" s="476"/>
      <c r="D566" s="476"/>
      <c r="E566" s="23">
        <v>-93.68</v>
      </c>
      <c r="F566" s="23">
        <v>0</v>
      </c>
      <c r="H566" s="23">
        <v>0</v>
      </c>
      <c r="J566" s="23">
        <v>-93.68</v>
      </c>
    </row>
    <row r="567" spans="1:10" ht="15.95" customHeight="1" x14ac:dyDescent="0.2">
      <c r="A567" s="27" t="s">
        <v>897</v>
      </c>
      <c r="B567" s="480" t="s">
        <v>898</v>
      </c>
      <c r="C567" s="476"/>
      <c r="D567" s="476"/>
      <c r="E567" s="23">
        <v>-27.05</v>
      </c>
      <c r="F567" s="23">
        <v>0</v>
      </c>
      <c r="H567" s="23">
        <v>0</v>
      </c>
      <c r="J567" s="23">
        <v>-27.05</v>
      </c>
    </row>
    <row r="568" spans="1:10" ht="15.95" customHeight="1" x14ac:dyDescent="0.2">
      <c r="A568" s="27" t="s">
        <v>899</v>
      </c>
      <c r="B568" s="480" t="s">
        <v>900</v>
      </c>
      <c r="C568" s="476"/>
      <c r="D568" s="476"/>
      <c r="E568" s="23">
        <v>-429.13</v>
      </c>
      <c r="F568" s="23">
        <v>0</v>
      </c>
      <c r="H568" s="23">
        <v>0</v>
      </c>
      <c r="J568" s="23">
        <v>-429.13</v>
      </c>
    </row>
    <row r="569" spans="1:10" ht="15.95" customHeight="1" x14ac:dyDescent="0.2">
      <c r="A569" s="27" t="s">
        <v>901</v>
      </c>
      <c r="B569" s="480" t="s">
        <v>902</v>
      </c>
      <c r="C569" s="476"/>
      <c r="D569" s="476"/>
      <c r="E569" s="23">
        <v>-91.74</v>
      </c>
      <c r="F569" s="23">
        <v>0</v>
      </c>
      <c r="H569" s="23">
        <v>0</v>
      </c>
      <c r="J569" s="23">
        <v>-91.74</v>
      </c>
    </row>
    <row r="570" spans="1:10" ht="15.95" customHeight="1" x14ac:dyDescent="0.2">
      <c r="A570" s="27" t="s">
        <v>903</v>
      </c>
      <c r="B570" s="480" t="s">
        <v>904</v>
      </c>
      <c r="C570" s="476"/>
      <c r="D570" s="476"/>
      <c r="E570" s="23">
        <v>-501</v>
      </c>
      <c r="F570" s="23">
        <v>0</v>
      </c>
      <c r="H570" s="23">
        <v>0</v>
      </c>
      <c r="J570" s="23">
        <v>-501</v>
      </c>
    </row>
    <row r="571" spans="1:10" ht="15.95" customHeight="1" x14ac:dyDescent="0.2">
      <c r="A571" s="27" t="s">
        <v>905</v>
      </c>
      <c r="B571" s="480" t="s">
        <v>906</v>
      </c>
      <c r="C571" s="476"/>
      <c r="D571" s="476"/>
      <c r="E571" s="23">
        <v>-4910.01</v>
      </c>
      <c r="F571" s="23">
        <v>0</v>
      </c>
      <c r="H571" s="23">
        <v>0</v>
      </c>
      <c r="J571" s="23">
        <v>-4910.01</v>
      </c>
    </row>
    <row r="572" spans="1:10" ht="15.95" customHeight="1" x14ac:dyDescent="0.2">
      <c r="A572" s="27" t="s">
        <v>907</v>
      </c>
      <c r="B572" s="480" t="s">
        <v>908</v>
      </c>
      <c r="C572" s="476"/>
      <c r="D572" s="476"/>
      <c r="E572" s="23">
        <v>-106</v>
      </c>
      <c r="F572" s="23">
        <v>0</v>
      </c>
      <c r="H572" s="23">
        <v>0</v>
      </c>
      <c r="J572" s="23">
        <v>-106</v>
      </c>
    </row>
    <row r="573" spans="1:10" ht="15.95" customHeight="1" x14ac:dyDescent="0.2">
      <c r="A573" s="27" t="s">
        <v>909</v>
      </c>
      <c r="B573" s="480" t="s">
        <v>910</v>
      </c>
      <c r="C573" s="476"/>
      <c r="D573" s="476"/>
      <c r="E573" s="23">
        <v>-41.75</v>
      </c>
      <c r="F573" s="23">
        <v>0</v>
      </c>
      <c r="H573" s="23">
        <v>0</v>
      </c>
      <c r="J573" s="23">
        <v>-41.75</v>
      </c>
    </row>
    <row r="574" spans="1:10" ht="15.95" customHeight="1" x14ac:dyDescent="0.2">
      <c r="A574" s="27" t="s">
        <v>1618</v>
      </c>
      <c r="B574" s="480" t="s">
        <v>1619</v>
      </c>
      <c r="C574" s="476"/>
      <c r="D574" s="476"/>
      <c r="E574" s="23">
        <v>-13.74</v>
      </c>
      <c r="F574" s="23">
        <v>13.74</v>
      </c>
      <c r="H574" s="23">
        <v>0</v>
      </c>
      <c r="J574" s="23">
        <v>0</v>
      </c>
    </row>
    <row r="575" spans="1:10" ht="15.95" customHeight="1" x14ac:dyDescent="0.2">
      <c r="A575" s="27" t="s">
        <v>911</v>
      </c>
      <c r="B575" s="480" t="s">
        <v>912</v>
      </c>
      <c r="C575" s="476"/>
      <c r="D575" s="476"/>
      <c r="E575" s="23">
        <v>0</v>
      </c>
      <c r="F575" s="23">
        <v>0</v>
      </c>
      <c r="H575" s="23">
        <v>25.84</v>
      </c>
      <c r="J575" s="23">
        <v>-25.84</v>
      </c>
    </row>
    <row r="576" spans="1:10" ht="15.95" customHeight="1" x14ac:dyDescent="0.2">
      <c r="A576" s="27" t="s">
        <v>913</v>
      </c>
      <c r="B576" s="480" t="s">
        <v>914</v>
      </c>
      <c r="C576" s="476"/>
      <c r="D576" s="476"/>
      <c r="E576" s="23">
        <v>0</v>
      </c>
      <c r="F576" s="23">
        <v>0</v>
      </c>
      <c r="H576" s="23">
        <v>24.95</v>
      </c>
      <c r="J576" s="23">
        <v>-24.95</v>
      </c>
    </row>
    <row r="577" spans="1:10" ht="15.95" customHeight="1" x14ac:dyDescent="0.2">
      <c r="A577" s="27" t="s">
        <v>1620</v>
      </c>
      <c r="B577" s="480" t="s">
        <v>1621</v>
      </c>
      <c r="C577" s="476"/>
      <c r="D577" s="476"/>
      <c r="E577" s="23">
        <v>0</v>
      </c>
      <c r="F577" s="23">
        <v>31691</v>
      </c>
      <c r="H577" s="23">
        <v>31691</v>
      </c>
      <c r="J577" s="23">
        <v>0</v>
      </c>
    </row>
    <row r="578" spans="1:10" ht="15.95" customHeight="1" x14ac:dyDescent="0.2">
      <c r="A578" s="27" t="s">
        <v>915</v>
      </c>
      <c r="B578" s="480" t="s">
        <v>916</v>
      </c>
      <c r="C578" s="476"/>
      <c r="D578" s="476"/>
      <c r="E578" s="23">
        <v>0</v>
      </c>
      <c r="F578" s="23">
        <v>0</v>
      </c>
      <c r="H578" s="23">
        <v>2728.5</v>
      </c>
      <c r="J578" s="23">
        <v>-2728.5</v>
      </c>
    </row>
    <row r="579" spans="1:10" ht="15.95" customHeight="1" x14ac:dyDescent="0.2">
      <c r="A579" s="27" t="s">
        <v>917</v>
      </c>
      <c r="B579" s="480" t="s">
        <v>918</v>
      </c>
      <c r="C579" s="476"/>
      <c r="D579" s="476"/>
      <c r="E579" s="23">
        <v>0</v>
      </c>
      <c r="F579" s="23">
        <v>1403.34</v>
      </c>
      <c r="H579" s="23">
        <v>1993.2</v>
      </c>
      <c r="J579" s="23">
        <v>-589.86</v>
      </c>
    </row>
    <row r="580" spans="1:10" ht="15.95" customHeight="1" x14ac:dyDescent="0.2">
      <c r="A580" s="27" t="s">
        <v>1548</v>
      </c>
      <c r="B580" s="480" t="s">
        <v>1549</v>
      </c>
      <c r="C580" s="476"/>
      <c r="D580" s="476"/>
      <c r="E580" s="23">
        <v>0</v>
      </c>
      <c r="F580" s="23">
        <v>192.71</v>
      </c>
      <c r="H580" s="23">
        <v>192.71</v>
      </c>
      <c r="J580" s="23">
        <v>0</v>
      </c>
    </row>
    <row r="581" spans="1:10" ht="15.95" customHeight="1" x14ac:dyDescent="0.2">
      <c r="A581" s="27" t="s">
        <v>924</v>
      </c>
      <c r="B581" s="480" t="s">
        <v>925</v>
      </c>
      <c r="C581" s="476"/>
      <c r="D581" s="476"/>
      <c r="E581" s="23">
        <v>-614118.05000000005</v>
      </c>
      <c r="F581" s="23">
        <v>491940.73</v>
      </c>
      <c r="H581" s="23">
        <v>146672.16</v>
      </c>
      <c r="J581" s="23">
        <v>-268849.48</v>
      </c>
    </row>
    <row r="582" spans="1:10" ht="15.95" customHeight="1" x14ac:dyDescent="0.2">
      <c r="A582" s="27">
        <v>2170103</v>
      </c>
      <c r="B582" s="480" t="s">
        <v>926</v>
      </c>
      <c r="C582" s="476"/>
      <c r="D582" s="476"/>
      <c r="E582" s="23">
        <v>-2074158.23</v>
      </c>
      <c r="F582" s="23">
        <v>0</v>
      </c>
      <c r="H582" s="23">
        <v>0</v>
      </c>
      <c r="J582" s="23">
        <v>-2074158.23</v>
      </c>
    </row>
    <row r="583" spans="1:10" ht="15.95" customHeight="1" x14ac:dyDescent="0.2">
      <c r="A583" s="27" t="s">
        <v>927</v>
      </c>
      <c r="B583" s="480" t="s">
        <v>928</v>
      </c>
      <c r="C583" s="476"/>
      <c r="D583" s="476"/>
      <c r="E583" s="23">
        <v>-130924.65</v>
      </c>
      <c r="F583" s="23">
        <v>0</v>
      </c>
      <c r="H583" s="23">
        <v>0</v>
      </c>
      <c r="J583" s="23">
        <v>-130924.65</v>
      </c>
    </row>
    <row r="584" spans="1:10" ht="15.95" customHeight="1" x14ac:dyDescent="0.2">
      <c r="A584" s="27" t="s">
        <v>929</v>
      </c>
      <c r="B584" s="480" t="s">
        <v>930</v>
      </c>
      <c r="C584" s="476"/>
      <c r="D584" s="476"/>
      <c r="E584" s="23">
        <v>-226.75</v>
      </c>
      <c r="F584" s="23">
        <v>0</v>
      </c>
      <c r="H584" s="23">
        <v>0</v>
      </c>
      <c r="J584" s="23">
        <v>-226.75</v>
      </c>
    </row>
    <row r="585" spans="1:10" ht="15.95" customHeight="1" x14ac:dyDescent="0.2">
      <c r="A585" s="27" t="s">
        <v>931</v>
      </c>
      <c r="B585" s="480" t="s">
        <v>932</v>
      </c>
      <c r="C585" s="476"/>
      <c r="D585" s="476"/>
      <c r="E585" s="23">
        <v>-1794.57</v>
      </c>
      <c r="F585" s="23">
        <v>0</v>
      </c>
      <c r="H585" s="23">
        <v>0</v>
      </c>
      <c r="J585" s="23">
        <v>-1794.57</v>
      </c>
    </row>
    <row r="586" spans="1:10" ht="15.95" customHeight="1" x14ac:dyDescent="0.2">
      <c r="A586" s="27" t="s">
        <v>933</v>
      </c>
      <c r="B586" s="480" t="s">
        <v>934</v>
      </c>
      <c r="C586" s="476"/>
      <c r="D586" s="476"/>
      <c r="E586" s="23">
        <v>-47342.879999999997</v>
      </c>
      <c r="F586" s="23">
        <v>0</v>
      </c>
      <c r="H586" s="23">
        <v>0</v>
      </c>
      <c r="J586" s="23">
        <v>-47342.879999999997</v>
      </c>
    </row>
    <row r="587" spans="1:10" ht="15.95" customHeight="1" x14ac:dyDescent="0.2">
      <c r="A587" s="27" t="s">
        <v>935</v>
      </c>
      <c r="B587" s="480" t="s">
        <v>936</v>
      </c>
      <c r="C587" s="476"/>
      <c r="D587" s="476"/>
      <c r="E587" s="23">
        <v>-2247.4699999999998</v>
      </c>
      <c r="F587" s="23">
        <v>0</v>
      </c>
      <c r="H587" s="23">
        <v>0</v>
      </c>
      <c r="J587" s="23">
        <v>-2247.4699999999998</v>
      </c>
    </row>
    <row r="588" spans="1:10" ht="15.95" customHeight="1" x14ac:dyDescent="0.2">
      <c r="A588" s="27" t="s">
        <v>937</v>
      </c>
      <c r="B588" s="480" t="s">
        <v>938</v>
      </c>
      <c r="C588" s="476"/>
      <c r="D588" s="476"/>
      <c r="E588" s="23">
        <v>-1269.3900000000001</v>
      </c>
      <c r="F588" s="23">
        <v>0</v>
      </c>
      <c r="H588" s="23">
        <v>0</v>
      </c>
      <c r="J588" s="23">
        <v>-1269.3900000000001</v>
      </c>
    </row>
    <row r="589" spans="1:10" ht="15.95" customHeight="1" x14ac:dyDescent="0.2">
      <c r="A589" s="27" t="s">
        <v>939</v>
      </c>
      <c r="B589" s="480" t="s">
        <v>940</v>
      </c>
      <c r="C589" s="476"/>
      <c r="D589" s="476"/>
      <c r="E589" s="23">
        <v>-33360.89</v>
      </c>
      <c r="F589" s="23">
        <v>0</v>
      </c>
      <c r="H589" s="23">
        <v>0</v>
      </c>
      <c r="J589" s="23">
        <v>-33360.89</v>
      </c>
    </row>
    <row r="590" spans="1:10" ht="15.95" customHeight="1" x14ac:dyDescent="0.2">
      <c r="A590" s="27" t="s">
        <v>941</v>
      </c>
      <c r="B590" s="480" t="s">
        <v>942</v>
      </c>
      <c r="C590" s="476"/>
      <c r="D590" s="476"/>
      <c r="E590" s="23">
        <v>-1242633.32</v>
      </c>
      <c r="F590" s="23">
        <v>0</v>
      </c>
      <c r="H590" s="23">
        <v>0</v>
      </c>
      <c r="J590" s="23">
        <v>-1242633.32</v>
      </c>
    </row>
    <row r="591" spans="1:10" ht="15.95" customHeight="1" x14ac:dyDescent="0.2">
      <c r="A591" s="27" t="s">
        <v>943</v>
      </c>
      <c r="B591" s="480" t="s">
        <v>944</v>
      </c>
      <c r="C591" s="476"/>
      <c r="D591" s="476"/>
      <c r="E591" s="23">
        <v>-1390.47</v>
      </c>
      <c r="F591" s="23">
        <v>0</v>
      </c>
      <c r="H591" s="23">
        <v>0</v>
      </c>
      <c r="J591" s="23">
        <v>-1390.47</v>
      </c>
    </row>
    <row r="592" spans="1:10" ht="15.95" customHeight="1" x14ac:dyDescent="0.2">
      <c r="A592" s="27" t="s">
        <v>945</v>
      </c>
      <c r="B592" s="480" t="s">
        <v>946</v>
      </c>
      <c r="C592" s="476"/>
      <c r="D592" s="476"/>
      <c r="E592" s="23">
        <v>-120520.27</v>
      </c>
      <c r="F592" s="23">
        <v>0</v>
      </c>
      <c r="H592" s="23">
        <v>0</v>
      </c>
      <c r="J592" s="23">
        <v>-120520.27</v>
      </c>
    </row>
    <row r="593" spans="1:10" ht="15.95" customHeight="1" x14ac:dyDescent="0.2">
      <c r="A593" s="27" t="s">
        <v>947</v>
      </c>
      <c r="B593" s="480" t="s">
        <v>948</v>
      </c>
      <c r="C593" s="476"/>
      <c r="D593" s="476"/>
      <c r="E593" s="23">
        <v>-328.74</v>
      </c>
      <c r="F593" s="23">
        <v>0</v>
      </c>
      <c r="H593" s="23">
        <v>0</v>
      </c>
      <c r="J593" s="23">
        <v>-328.74</v>
      </c>
    </row>
    <row r="594" spans="1:10" ht="15.95" customHeight="1" x14ac:dyDescent="0.2">
      <c r="A594" s="27" t="s">
        <v>949</v>
      </c>
      <c r="B594" s="480" t="s">
        <v>950</v>
      </c>
      <c r="C594" s="476"/>
      <c r="D594" s="476"/>
      <c r="E594" s="23">
        <v>-432.02</v>
      </c>
      <c r="F594" s="23">
        <v>0</v>
      </c>
      <c r="H594" s="23">
        <v>0</v>
      </c>
      <c r="J594" s="23">
        <v>-432.02</v>
      </c>
    </row>
    <row r="595" spans="1:10" ht="15.95" customHeight="1" x14ac:dyDescent="0.2">
      <c r="A595" s="27" t="s">
        <v>951</v>
      </c>
      <c r="B595" s="480" t="s">
        <v>952</v>
      </c>
      <c r="C595" s="476"/>
      <c r="D595" s="476"/>
      <c r="E595" s="23">
        <v>-107.73</v>
      </c>
      <c r="F595" s="23">
        <v>0</v>
      </c>
      <c r="H595" s="23">
        <v>0</v>
      </c>
      <c r="J595" s="23">
        <v>-107.73</v>
      </c>
    </row>
    <row r="596" spans="1:10" ht="15.95" customHeight="1" x14ac:dyDescent="0.2">
      <c r="A596" s="27" t="s">
        <v>953</v>
      </c>
      <c r="B596" s="480" t="s">
        <v>954</v>
      </c>
      <c r="C596" s="476"/>
      <c r="D596" s="476"/>
      <c r="E596" s="23">
        <v>-514.91999999999996</v>
      </c>
      <c r="F596" s="23">
        <v>0</v>
      </c>
      <c r="H596" s="23">
        <v>0</v>
      </c>
      <c r="J596" s="23">
        <v>-514.91999999999996</v>
      </c>
    </row>
    <row r="597" spans="1:10" ht="15.95" customHeight="1" x14ac:dyDescent="0.2">
      <c r="A597" s="27" t="s">
        <v>955</v>
      </c>
      <c r="B597" s="480" t="s">
        <v>956</v>
      </c>
      <c r="C597" s="476"/>
      <c r="D597" s="476"/>
      <c r="E597" s="23">
        <v>-18892.57</v>
      </c>
      <c r="F597" s="23">
        <v>0</v>
      </c>
      <c r="H597" s="23">
        <v>0</v>
      </c>
      <c r="J597" s="23">
        <v>-18892.57</v>
      </c>
    </row>
    <row r="598" spans="1:10" ht="15.95" customHeight="1" x14ac:dyDescent="0.2">
      <c r="A598" s="27" t="s">
        <v>957</v>
      </c>
      <c r="B598" s="480" t="s">
        <v>958</v>
      </c>
      <c r="C598" s="476"/>
      <c r="D598" s="476"/>
      <c r="E598" s="23">
        <v>-2092.9</v>
      </c>
      <c r="F598" s="23">
        <v>0</v>
      </c>
      <c r="H598" s="23">
        <v>0</v>
      </c>
      <c r="J598" s="23">
        <v>-2092.9</v>
      </c>
    </row>
    <row r="599" spans="1:10" ht="27.95" customHeight="1" x14ac:dyDescent="0.2">
      <c r="A599" s="27" t="s">
        <v>959</v>
      </c>
      <c r="B599" s="480" t="s">
        <v>960</v>
      </c>
      <c r="C599" s="476"/>
      <c r="D599" s="476"/>
      <c r="E599" s="23">
        <v>-198.92</v>
      </c>
      <c r="F599" s="23">
        <v>0</v>
      </c>
      <c r="H599" s="23">
        <v>0</v>
      </c>
      <c r="J599" s="23">
        <v>-198.92</v>
      </c>
    </row>
    <row r="600" spans="1:10" ht="15.95" customHeight="1" x14ac:dyDescent="0.2">
      <c r="A600" s="484" t="s">
        <v>1446</v>
      </c>
      <c r="B600" s="476"/>
      <c r="C600" s="476"/>
      <c r="D600" s="96" t="s">
        <v>1742</v>
      </c>
      <c r="J600" s="97" t="s">
        <v>1743</v>
      </c>
    </row>
    <row r="601" spans="1:10" ht="20.100000000000001" customHeight="1" x14ac:dyDescent="0.2">
      <c r="A601" s="93" t="s">
        <v>1424</v>
      </c>
      <c r="J601" s="94" t="s">
        <v>1753</v>
      </c>
    </row>
    <row r="602" spans="1:10" ht="15.95" customHeight="1" x14ac:dyDescent="0.2">
      <c r="A602" s="27" t="s">
        <v>1737</v>
      </c>
      <c r="C602" s="27" t="s">
        <v>0</v>
      </c>
      <c r="J602" s="23" t="s">
        <v>1738</v>
      </c>
    </row>
    <row r="603" spans="1:10" ht="14.1" customHeight="1" x14ac:dyDescent="0.2">
      <c r="A603" s="95" t="s">
        <v>1739</v>
      </c>
      <c r="J603" s="23" t="s">
        <v>1740</v>
      </c>
    </row>
    <row r="604" spans="1:10" ht="15" customHeight="1" x14ac:dyDescent="0.2">
      <c r="A604" s="95" t="s">
        <v>1741</v>
      </c>
    </row>
    <row r="605" spans="1:10" ht="23.1" customHeight="1" x14ac:dyDescent="0.2">
      <c r="A605" s="20" t="s">
        <v>55</v>
      </c>
      <c r="B605" s="20" t="s">
        <v>56</v>
      </c>
      <c r="E605" s="21" t="s">
        <v>57</v>
      </c>
      <c r="F605" s="21" t="s">
        <v>58</v>
      </c>
      <c r="H605" s="21" t="s">
        <v>59</v>
      </c>
      <c r="J605" s="21" t="s">
        <v>60</v>
      </c>
    </row>
    <row r="606" spans="1:10" ht="15.95" customHeight="1" x14ac:dyDescent="0.2">
      <c r="A606" s="27" t="s">
        <v>961</v>
      </c>
      <c r="B606" s="480" t="s">
        <v>962</v>
      </c>
      <c r="C606" s="476"/>
      <c r="D606" s="476"/>
      <c r="E606" s="23">
        <v>-631.79999999999995</v>
      </c>
      <c r="F606" s="23">
        <v>0</v>
      </c>
      <c r="H606" s="23">
        <v>0</v>
      </c>
      <c r="J606" s="23">
        <v>-631.79999999999995</v>
      </c>
    </row>
    <row r="607" spans="1:10" ht="15.95" customHeight="1" x14ac:dyDescent="0.2">
      <c r="A607" s="27" t="s">
        <v>963</v>
      </c>
      <c r="B607" s="480" t="s">
        <v>964</v>
      </c>
      <c r="C607" s="476"/>
      <c r="D607" s="476"/>
      <c r="E607" s="23">
        <v>-11.83</v>
      </c>
      <c r="F607" s="23">
        <v>0</v>
      </c>
      <c r="H607" s="23">
        <v>0</v>
      </c>
      <c r="J607" s="23">
        <v>-11.83</v>
      </c>
    </row>
    <row r="608" spans="1:10" ht="15.95" customHeight="1" x14ac:dyDescent="0.2">
      <c r="A608" s="27" t="s">
        <v>965</v>
      </c>
      <c r="B608" s="480" t="s">
        <v>966</v>
      </c>
      <c r="C608" s="476"/>
      <c r="D608" s="476"/>
      <c r="E608" s="23">
        <v>-1312.41</v>
      </c>
      <c r="F608" s="23">
        <v>0</v>
      </c>
      <c r="H608" s="23">
        <v>0</v>
      </c>
      <c r="J608" s="23">
        <v>-1312.41</v>
      </c>
    </row>
    <row r="609" spans="1:10" ht="15.95" customHeight="1" x14ac:dyDescent="0.2">
      <c r="A609" s="27" t="s">
        <v>967</v>
      </c>
      <c r="B609" s="480" t="s">
        <v>968</v>
      </c>
      <c r="C609" s="476"/>
      <c r="D609" s="476"/>
      <c r="E609" s="23">
        <v>-334.96</v>
      </c>
      <c r="F609" s="23">
        <v>0</v>
      </c>
      <c r="H609" s="23">
        <v>0</v>
      </c>
      <c r="J609" s="23">
        <v>-334.96</v>
      </c>
    </row>
    <row r="610" spans="1:10" ht="15.95" customHeight="1" x14ac:dyDescent="0.2">
      <c r="A610" s="27" t="s">
        <v>969</v>
      </c>
      <c r="B610" s="480" t="s">
        <v>970</v>
      </c>
      <c r="C610" s="476"/>
      <c r="D610" s="476"/>
      <c r="E610" s="23">
        <v>-59.39</v>
      </c>
      <c r="F610" s="23">
        <v>0</v>
      </c>
      <c r="H610" s="23">
        <v>0</v>
      </c>
      <c r="J610" s="23">
        <v>-59.39</v>
      </c>
    </row>
    <row r="611" spans="1:10" ht="15.95" customHeight="1" x14ac:dyDescent="0.2">
      <c r="A611" s="27" t="s">
        <v>971</v>
      </c>
      <c r="B611" s="480" t="s">
        <v>972</v>
      </c>
      <c r="C611" s="476"/>
      <c r="D611" s="476"/>
      <c r="E611" s="23">
        <v>-1929.28</v>
      </c>
      <c r="F611" s="23">
        <v>0</v>
      </c>
      <c r="H611" s="23">
        <v>0</v>
      </c>
      <c r="J611" s="23">
        <v>-1929.28</v>
      </c>
    </row>
    <row r="612" spans="1:10" ht="15.95" customHeight="1" x14ac:dyDescent="0.2">
      <c r="A612" s="27" t="s">
        <v>973</v>
      </c>
      <c r="B612" s="480" t="s">
        <v>974</v>
      </c>
      <c r="C612" s="476"/>
      <c r="D612" s="476"/>
      <c r="E612" s="23">
        <v>-465600.1</v>
      </c>
      <c r="F612" s="23">
        <v>0</v>
      </c>
      <c r="H612" s="23">
        <v>0</v>
      </c>
      <c r="J612" s="23">
        <v>-465600.1</v>
      </c>
    </row>
    <row r="613" spans="1:10" ht="15.95" customHeight="1" x14ac:dyDescent="0.2">
      <c r="A613" s="27">
        <v>2170104</v>
      </c>
      <c r="B613" s="480" t="s">
        <v>975</v>
      </c>
      <c r="C613" s="476"/>
      <c r="D613" s="476"/>
      <c r="E613" s="23">
        <v>-710988.14</v>
      </c>
      <c r="F613" s="23">
        <v>7159.12</v>
      </c>
      <c r="H613" s="23">
        <v>8952.67</v>
      </c>
      <c r="J613" s="23">
        <v>-712781.69</v>
      </c>
    </row>
    <row r="614" spans="1:10" ht="15.95" customHeight="1" x14ac:dyDescent="0.2">
      <c r="A614" s="27" t="s">
        <v>976</v>
      </c>
      <c r="B614" s="480" t="s">
        <v>977</v>
      </c>
      <c r="C614" s="476"/>
      <c r="D614" s="476"/>
      <c r="E614" s="23">
        <v>-849.06</v>
      </c>
      <c r="F614" s="23">
        <v>0</v>
      </c>
      <c r="H614" s="23">
        <v>0</v>
      </c>
      <c r="J614" s="23">
        <v>-849.06</v>
      </c>
    </row>
    <row r="615" spans="1:10" ht="15.95" customHeight="1" x14ac:dyDescent="0.2">
      <c r="A615" s="27" t="s">
        <v>978</v>
      </c>
      <c r="B615" s="480" t="s">
        <v>979</v>
      </c>
      <c r="C615" s="476"/>
      <c r="D615" s="476"/>
      <c r="E615" s="23">
        <v>-27781.55</v>
      </c>
      <c r="F615" s="23">
        <v>0</v>
      </c>
      <c r="H615" s="23">
        <v>0</v>
      </c>
      <c r="J615" s="23">
        <v>-27781.55</v>
      </c>
    </row>
    <row r="616" spans="1:10" ht="15.95" customHeight="1" x14ac:dyDescent="0.2">
      <c r="A616" s="27" t="s">
        <v>980</v>
      </c>
      <c r="B616" s="480" t="s">
        <v>981</v>
      </c>
      <c r="C616" s="476"/>
      <c r="D616" s="476"/>
      <c r="E616" s="23">
        <v>-5267.08</v>
      </c>
      <c r="F616" s="23">
        <v>0</v>
      </c>
      <c r="H616" s="23">
        <v>927.94</v>
      </c>
      <c r="J616" s="23">
        <v>-6195.02</v>
      </c>
    </row>
    <row r="617" spans="1:10" ht="15.95" customHeight="1" x14ac:dyDescent="0.2">
      <c r="A617" s="27" t="s">
        <v>982</v>
      </c>
      <c r="B617" s="480" t="s">
        <v>983</v>
      </c>
      <c r="C617" s="476"/>
      <c r="D617" s="476"/>
      <c r="E617" s="23">
        <v>-63.22</v>
      </c>
      <c r="F617" s="23">
        <v>0</v>
      </c>
      <c r="H617" s="23">
        <v>0</v>
      </c>
      <c r="J617" s="23">
        <v>-63.22</v>
      </c>
    </row>
    <row r="618" spans="1:10" ht="15.95" customHeight="1" x14ac:dyDescent="0.2">
      <c r="A618" s="27" t="s">
        <v>984</v>
      </c>
      <c r="B618" s="480" t="s">
        <v>985</v>
      </c>
      <c r="C618" s="476"/>
      <c r="D618" s="476"/>
      <c r="E618" s="23">
        <v>-1989.74</v>
      </c>
      <c r="F618" s="23">
        <v>927.94</v>
      </c>
      <c r="H618" s="23">
        <v>0</v>
      </c>
      <c r="J618" s="23">
        <v>-1061.8</v>
      </c>
    </row>
    <row r="619" spans="1:10" ht="15.95" customHeight="1" x14ac:dyDescent="0.2">
      <c r="A619" s="27" t="s">
        <v>986</v>
      </c>
      <c r="B619" s="480" t="s">
        <v>987</v>
      </c>
      <c r="C619" s="476"/>
      <c r="D619" s="476"/>
      <c r="E619" s="23">
        <v>-134339.62</v>
      </c>
      <c r="F619" s="23">
        <v>0</v>
      </c>
      <c r="H619" s="23">
        <v>0</v>
      </c>
      <c r="J619" s="23">
        <v>-134339.62</v>
      </c>
    </row>
    <row r="620" spans="1:10" ht="15.95" customHeight="1" x14ac:dyDescent="0.2">
      <c r="A620" s="27" t="s">
        <v>988</v>
      </c>
      <c r="B620" s="480" t="s">
        <v>989</v>
      </c>
      <c r="C620" s="476"/>
      <c r="D620" s="476"/>
      <c r="E620" s="23">
        <v>-176.92</v>
      </c>
      <c r="F620" s="23">
        <v>0</v>
      </c>
      <c r="H620" s="23">
        <v>0</v>
      </c>
      <c r="J620" s="23">
        <v>-176.92</v>
      </c>
    </row>
    <row r="621" spans="1:10" ht="15.95" customHeight="1" x14ac:dyDescent="0.2">
      <c r="A621" s="27" t="s">
        <v>990</v>
      </c>
      <c r="B621" s="480" t="s">
        <v>991</v>
      </c>
      <c r="C621" s="476"/>
      <c r="D621" s="476"/>
      <c r="E621" s="23">
        <v>-19700.63</v>
      </c>
      <c r="F621" s="23">
        <v>0</v>
      </c>
      <c r="H621" s="23">
        <v>0</v>
      </c>
      <c r="J621" s="23">
        <v>-19700.63</v>
      </c>
    </row>
    <row r="622" spans="1:10" ht="15.95" customHeight="1" x14ac:dyDescent="0.2">
      <c r="A622" s="27" t="s">
        <v>992</v>
      </c>
      <c r="B622" s="480" t="s">
        <v>993</v>
      </c>
      <c r="C622" s="476"/>
      <c r="D622" s="476"/>
      <c r="E622" s="23">
        <v>-201984.8</v>
      </c>
      <c r="F622" s="23">
        <v>0</v>
      </c>
      <c r="H622" s="23">
        <v>0</v>
      </c>
      <c r="J622" s="23">
        <v>-201984.8</v>
      </c>
    </row>
    <row r="623" spans="1:10" ht="15.95" customHeight="1" x14ac:dyDescent="0.2">
      <c r="A623" s="27" t="s">
        <v>994</v>
      </c>
      <c r="B623" s="480" t="s">
        <v>995</v>
      </c>
      <c r="C623" s="476"/>
      <c r="D623" s="476"/>
      <c r="E623" s="23">
        <v>-447.8</v>
      </c>
      <c r="F623" s="23">
        <v>0</v>
      </c>
      <c r="H623" s="23">
        <v>0</v>
      </c>
      <c r="J623" s="23">
        <v>-447.8</v>
      </c>
    </row>
    <row r="624" spans="1:10" ht="15.95" customHeight="1" x14ac:dyDescent="0.2">
      <c r="A624" s="27" t="s">
        <v>996</v>
      </c>
      <c r="B624" s="480" t="s">
        <v>997</v>
      </c>
      <c r="C624" s="476"/>
      <c r="D624" s="476"/>
      <c r="E624" s="23">
        <v>-68.72</v>
      </c>
      <c r="F624" s="23">
        <v>0</v>
      </c>
      <c r="H624" s="23">
        <v>0</v>
      </c>
      <c r="J624" s="23">
        <v>-68.72</v>
      </c>
    </row>
    <row r="625" spans="1:10" ht="15.95" customHeight="1" x14ac:dyDescent="0.2">
      <c r="A625" s="27" t="s">
        <v>998</v>
      </c>
      <c r="B625" s="480" t="s">
        <v>999</v>
      </c>
      <c r="C625" s="476"/>
      <c r="D625" s="476"/>
      <c r="E625" s="23">
        <v>-1189.55</v>
      </c>
      <c r="F625" s="23">
        <v>0</v>
      </c>
      <c r="H625" s="23">
        <v>0</v>
      </c>
      <c r="J625" s="23">
        <v>-1189.55</v>
      </c>
    </row>
    <row r="626" spans="1:10" ht="15.95" customHeight="1" x14ac:dyDescent="0.2">
      <c r="A626" s="27" t="s">
        <v>1000</v>
      </c>
      <c r="B626" s="480" t="s">
        <v>1001</v>
      </c>
      <c r="C626" s="476"/>
      <c r="D626" s="476"/>
      <c r="E626" s="23">
        <v>-774.09</v>
      </c>
      <c r="F626" s="23">
        <v>0</v>
      </c>
      <c r="H626" s="23">
        <v>0</v>
      </c>
      <c r="J626" s="23">
        <v>-774.09</v>
      </c>
    </row>
    <row r="627" spans="1:10" ht="15.95" customHeight="1" x14ac:dyDescent="0.2">
      <c r="A627" s="27" t="s">
        <v>1002</v>
      </c>
      <c r="B627" s="480" t="s">
        <v>1003</v>
      </c>
      <c r="C627" s="476"/>
      <c r="D627" s="476"/>
      <c r="E627" s="23">
        <v>-360</v>
      </c>
      <c r="F627" s="23">
        <v>0</v>
      </c>
      <c r="H627" s="23">
        <v>0</v>
      </c>
      <c r="J627" s="23">
        <v>-360</v>
      </c>
    </row>
    <row r="628" spans="1:10" ht="15.95" customHeight="1" x14ac:dyDescent="0.2">
      <c r="A628" s="27" t="s">
        <v>1004</v>
      </c>
      <c r="B628" s="480" t="s">
        <v>1005</v>
      </c>
      <c r="C628" s="476"/>
      <c r="D628" s="476"/>
      <c r="E628" s="23">
        <v>-2180.19</v>
      </c>
      <c r="F628" s="23">
        <v>0</v>
      </c>
      <c r="H628" s="23">
        <v>0</v>
      </c>
      <c r="J628" s="23">
        <v>-2180.19</v>
      </c>
    </row>
    <row r="629" spans="1:10" ht="15.95" customHeight="1" x14ac:dyDescent="0.2">
      <c r="A629" s="27" t="s">
        <v>1006</v>
      </c>
      <c r="B629" s="480" t="s">
        <v>1007</v>
      </c>
      <c r="C629" s="476"/>
      <c r="D629" s="476"/>
      <c r="E629" s="23">
        <v>-29612.55</v>
      </c>
      <c r="F629" s="23">
        <v>6231.18</v>
      </c>
      <c r="H629" s="23">
        <v>0</v>
      </c>
      <c r="J629" s="23">
        <v>-23381.37</v>
      </c>
    </row>
    <row r="630" spans="1:10" ht="15.95" customHeight="1" x14ac:dyDescent="0.2">
      <c r="A630" s="27" t="s">
        <v>1008</v>
      </c>
      <c r="B630" s="480" t="s">
        <v>1009</v>
      </c>
      <c r="C630" s="476"/>
      <c r="D630" s="476"/>
      <c r="E630" s="23">
        <v>-36.67</v>
      </c>
      <c r="F630" s="23">
        <v>0</v>
      </c>
      <c r="H630" s="23">
        <v>0</v>
      </c>
      <c r="J630" s="23">
        <v>-36.67</v>
      </c>
    </row>
    <row r="631" spans="1:10" ht="15.95" customHeight="1" x14ac:dyDescent="0.2">
      <c r="A631" s="27" t="s">
        <v>1010</v>
      </c>
      <c r="B631" s="480" t="s">
        <v>1011</v>
      </c>
      <c r="C631" s="476"/>
      <c r="D631" s="476"/>
      <c r="E631" s="23">
        <v>-130436.47</v>
      </c>
      <c r="F631" s="23">
        <v>0</v>
      </c>
      <c r="H631" s="23">
        <v>0</v>
      </c>
      <c r="J631" s="23">
        <v>-130436.47</v>
      </c>
    </row>
    <row r="632" spans="1:10" ht="15.95" customHeight="1" x14ac:dyDescent="0.2">
      <c r="A632" s="27" t="s">
        <v>1012</v>
      </c>
      <c r="B632" s="480" t="s">
        <v>1013</v>
      </c>
      <c r="C632" s="476"/>
      <c r="D632" s="476"/>
      <c r="E632" s="23">
        <v>-90761.279999999999</v>
      </c>
      <c r="F632" s="23">
        <v>0</v>
      </c>
      <c r="H632" s="23">
        <v>0</v>
      </c>
      <c r="J632" s="23">
        <v>-90761.279999999999</v>
      </c>
    </row>
    <row r="633" spans="1:10" ht="15.95" customHeight="1" x14ac:dyDescent="0.2">
      <c r="A633" s="27" t="s">
        <v>1014</v>
      </c>
      <c r="B633" s="480" t="s">
        <v>1015</v>
      </c>
      <c r="C633" s="476"/>
      <c r="D633" s="476"/>
      <c r="E633" s="23">
        <v>-8820.4599999999991</v>
      </c>
      <c r="F633" s="23">
        <v>0</v>
      </c>
      <c r="H633" s="23">
        <v>0</v>
      </c>
      <c r="J633" s="23">
        <v>-8820.4599999999991</v>
      </c>
    </row>
    <row r="634" spans="1:10" ht="15.95" customHeight="1" x14ac:dyDescent="0.2">
      <c r="A634" s="27" t="s">
        <v>1016</v>
      </c>
      <c r="B634" s="480" t="s">
        <v>1017</v>
      </c>
      <c r="C634" s="476"/>
      <c r="D634" s="476"/>
      <c r="E634" s="23">
        <v>-670.72</v>
      </c>
      <c r="F634" s="23">
        <v>0</v>
      </c>
      <c r="H634" s="23">
        <v>0</v>
      </c>
      <c r="J634" s="23">
        <v>-670.72</v>
      </c>
    </row>
    <row r="635" spans="1:10" ht="15.95" customHeight="1" x14ac:dyDescent="0.2">
      <c r="A635" s="27" t="s">
        <v>1018</v>
      </c>
      <c r="B635" s="480" t="s">
        <v>1019</v>
      </c>
      <c r="C635" s="476"/>
      <c r="D635" s="476"/>
      <c r="E635" s="23">
        <v>-2081.5100000000002</v>
      </c>
      <c r="F635" s="23">
        <v>0</v>
      </c>
      <c r="H635" s="23">
        <v>1139.6400000000001</v>
      </c>
      <c r="J635" s="23">
        <v>-3221.15</v>
      </c>
    </row>
    <row r="636" spans="1:10" ht="15.95" customHeight="1" x14ac:dyDescent="0.2">
      <c r="A636" s="27" t="s">
        <v>1020</v>
      </c>
      <c r="B636" s="480" t="s">
        <v>1021</v>
      </c>
      <c r="C636" s="476"/>
      <c r="D636" s="476"/>
      <c r="E636" s="23">
        <v>-200.03</v>
      </c>
      <c r="F636" s="23">
        <v>0</v>
      </c>
      <c r="H636" s="23">
        <v>0</v>
      </c>
      <c r="J636" s="23">
        <v>-200.03</v>
      </c>
    </row>
    <row r="637" spans="1:10" ht="15.95" customHeight="1" x14ac:dyDescent="0.2">
      <c r="A637" s="27" t="s">
        <v>1022</v>
      </c>
      <c r="B637" s="480" t="s">
        <v>1023</v>
      </c>
      <c r="C637" s="476"/>
      <c r="D637" s="476"/>
      <c r="E637" s="23">
        <v>-98.61</v>
      </c>
      <c r="F637" s="23">
        <v>0</v>
      </c>
      <c r="H637" s="23">
        <v>240.64</v>
      </c>
      <c r="J637" s="23">
        <v>-339.25</v>
      </c>
    </row>
    <row r="638" spans="1:10" ht="15.95" customHeight="1" x14ac:dyDescent="0.2">
      <c r="A638" s="27" t="s">
        <v>1024</v>
      </c>
      <c r="B638" s="480" t="s">
        <v>1025</v>
      </c>
      <c r="C638" s="476"/>
      <c r="D638" s="476"/>
      <c r="E638" s="23">
        <v>-200.03</v>
      </c>
      <c r="F638" s="23">
        <v>0</v>
      </c>
      <c r="H638" s="23">
        <v>0</v>
      </c>
      <c r="J638" s="23">
        <v>-200.03</v>
      </c>
    </row>
    <row r="639" spans="1:10" ht="15.95" customHeight="1" x14ac:dyDescent="0.2">
      <c r="A639" s="27" t="s">
        <v>1026</v>
      </c>
      <c r="B639" s="480" t="s">
        <v>1027</v>
      </c>
      <c r="C639" s="476"/>
      <c r="D639" s="476"/>
      <c r="E639" s="23">
        <v>-508.19</v>
      </c>
      <c r="F639" s="23">
        <v>0</v>
      </c>
      <c r="H639" s="23">
        <v>0</v>
      </c>
      <c r="J639" s="23">
        <v>-508.19</v>
      </c>
    </row>
    <row r="640" spans="1:10" ht="15.95" customHeight="1" x14ac:dyDescent="0.2">
      <c r="A640" s="27" t="s">
        <v>1028</v>
      </c>
      <c r="B640" s="480" t="s">
        <v>1029</v>
      </c>
      <c r="C640" s="476"/>
      <c r="D640" s="476"/>
      <c r="E640" s="23">
        <v>-30882.47</v>
      </c>
      <c r="F640" s="23">
        <v>0</v>
      </c>
      <c r="H640" s="23">
        <v>0</v>
      </c>
      <c r="J640" s="23">
        <v>-30882.47</v>
      </c>
    </row>
    <row r="641" spans="1:10" ht="15.95" customHeight="1" x14ac:dyDescent="0.2">
      <c r="A641" s="27" t="s">
        <v>1030</v>
      </c>
      <c r="B641" s="480" t="s">
        <v>1031</v>
      </c>
      <c r="C641" s="476"/>
      <c r="D641" s="476"/>
      <c r="E641" s="23">
        <v>-2991.81</v>
      </c>
      <c r="F641" s="23">
        <v>0</v>
      </c>
      <c r="H641" s="23">
        <v>0</v>
      </c>
      <c r="J641" s="23">
        <v>-2991.81</v>
      </c>
    </row>
    <row r="642" spans="1:10" ht="15.95" customHeight="1" x14ac:dyDescent="0.2">
      <c r="A642" s="27" t="s">
        <v>1032</v>
      </c>
      <c r="B642" s="480" t="s">
        <v>1033</v>
      </c>
      <c r="C642" s="476"/>
      <c r="D642" s="476"/>
      <c r="E642" s="23">
        <v>-304.25</v>
      </c>
      <c r="F642" s="23">
        <v>0</v>
      </c>
      <c r="H642" s="23">
        <v>281.58</v>
      </c>
      <c r="J642" s="23">
        <v>-585.83000000000004</v>
      </c>
    </row>
    <row r="643" spans="1:10" ht="15.95" customHeight="1" x14ac:dyDescent="0.2">
      <c r="A643" s="27" t="s">
        <v>1034</v>
      </c>
      <c r="B643" s="480" t="s">
        <v>1035</v>
      </c>
      <c r="C643" s="476"/>
      <c r="D643" s="476"/>
      <c r="E643" s="23">
        <v>-101.42</v>
      </c>
      <c r="F643" s="23">
        <v>0</v>
      </c>
      <c r="H643" s="23">
        <v>131.69</v>
      </c>
      <c r="J643" s="23">
        <v>-233.11</v>
      </c>
    </row>
    <row r="644" spans="1:10" ht="15.95" customHeight="1" x14ac:dyDescent="0.2">
      <c r="A644" s="27" t="s">
        <v>1036</v>
      </c>
      <c r="B644" s="480" t="s">
        <v>1037</v>
      </c>
      <c r="C644" s="476"/>
      <c r="D644" s="476"/>
      <c r="E644" s="23">
        <v>-48.41</v>
      </c>
      <c r="F644" s="23">
        <v>0</v>
      </c>
      <c r="H644" s="23">
        <v>0</v>
      </c>
      <c r="J644" s="23">
        <v>-48.41</v>
      </c>
    </row>
    <row r="645" spans="1:10" ht="15.95" customHeight="1" x14ac:dyDescent="0.2">
      <c r="A645" s="27" t="s">
        <v>1038</v>
      </c>
      <c r="B645" s="480" t="s">
        <v>1039</v>
      </c>
      <c r="C645" s="476"/>
      <c r="D645" s="476"/>
      <c r="E645" s="23">
        <v>-16060.29</v>
      </c>
      <c r="F645" s="23">
        <v>0</v>
      </c>
      <c r="H645" s="23">
        <v>0</v>
      </c>
      <c r="J645" s="23">
        <v>-16060.29</v>
      </c>
    </row>
    <row r="646" spans="1:10" ht="15.95" customHeight="1" x14ac:dyDescent="0.2">
      <c r="A646" s="27" t="s">
        <v>1040</v>
      </c>
      <c r="B646" s="480" t="s">
        <v>1041</v>
      </c>
      <c r="C646" s="476"/>
      <c r="D646" s="476"/>
      <c r="E646" s="23">
        <v>0</v>
      </c>
      <c r="F646" s="23">
        <v>0</v>
      </c>
      <c r="H646" s="23">
        <v>6231.18</v>
      </c>
      <c r="J646" s="23">
        <v>-6231.18</v>
      </c>
    </row>
    <row r="647" spans="1:10" ht="15.95" customHeight="1" x14ac:dyDescent="0.2">
      <c r="A647" s="27">
        <v>218</v>
      </c>
      <c r="B647" s="480" t="s">
        <v>1042</v>
      </c>
      <c r="C647" s="476"/>
      <c r="D647" s="476"/>
      <c r="E647" s="23">
        <v>-1040133.12</v>
      </c>
      <c r="F647" s="23">
        <v>600001.93000000005</v>
      </c>
      <c r="H647" s="23">
        <v>22.12</v>
      </c>
      <c r="J647" s="23">
        <v>-440153.31</v>
      </c>
    </row>
    <row r="648" spans="1:10" ht="15.95" customHeight="1" x14ac:dyDescent="0.2">
      <c r="A648" s="27">
        <v>21801</v>
      </c>
      <c r="B648" s="480" t="s">
        <v>1043</v>
      </c>
      <c r="C648" s="476"/>
      <c r="D648" s="476"/>
      <c r="E648" s="23">
        <v>111332.6</v>
      </c>
      <c r="F648" s="23">
        <v>1.93</v>
      </c>
      <c r="H648" s="23">
        <v>22.12</v>
      </c>
      <c r="J648" s="23">
        <v>111312.41</v>
      </c>
    </row>
    <row r="649" spans="1:10" ht="15.95" customHeight="1" x14ac:dyDescent="0.2">
      <c r="A649" s="27">
        <v>2180102</v>
      </c>
      <c r="B649" s="480" t="s">
        <v>1044</v>
      </c>
      <c r="C649" s="476"/>
      <c r="D649" s="476"/>
      <c r="E649" s="23">
        <v>-91861.41</v>
      </c>
      <c r="F649" s="23">
        <v>1.93</v>
      </c>
      <c r="H649" s="23">
        <v>8.65</v>
      </c>
      <c r="J649" s="23">
        <v>-91868.13</v>
      </c>
    </row>
    <row r="650" spans="1:10" ht="15.95" customHeight="1" x14ac:dyDescent="0.2">
      <c r="A650" s="27" t="s">
        <v>1045</v>
      </c>
      <c r="B650" s="480" t="s">
        <v>1046</v>
      </c>
      <c r="C650" s="476"/>
      <c r="D650" s="476"/>
      <c r="E650" s="23">
        <v>-91861.41</v>
      </c>
      <c r="F650" s="23">
        <v>1.93</v>
      </c>
      <c r="H650" s="23">
        <v>8.65</v>
      </c>
      <c r="J650" s="23">
        <v>-91868.13</v>
      </c>
    </row>
    <row r="651" spans="1:10" ht="15.95" customHeight="1" x14ac:dyDescent="0.2">
      <c r="A651" s="27">
        <v>2180103</v>
      </c>
      <c r="B651" s="480" t="s">
        <v>1047</v>
      </c>
      <c r="C651" s="476"/>
      <c r="D651" s="476"/>
      <c r="E651" s="23">
        <v>203194.01</v>
      </c>
      <c r="F651" s="23">
        <v>0</v>
      </c>
      <c r="H651" s="23">
        <v>13.47</v>
      </c>
      <c r="J651" s="23">
        <v>203180.54</v>
      </c>
    </row>
    <row r="652" spans="1:10" ht="15.95" customHeight="1" x14ac:dyDescent="0.2">
      <c r="A652" s="27" t="s">
        <v>1048</v>
      </c>
      <c r="B652" s="480" t="s">
        <v>1049</v>
      </c>
      <c r="C652" s="476"/>
      <c r="D652" s="476"/>
      <c r="E652" s="23">
        <v>203194.01</v>
      </c>
      <c r="F652" s="23">
        <v>0</v>
      </c>
      <c r="H652" s="23">
        <v>13.47</v>
      </c>
      <c r="J652" s="23">
        <v>203180.54</v>
      </c>
    </row>
    <row r="653" spans="1:10" ht="15.95" customHeight="1" x14ac:dyDescent="0.2">
      <c r="A653" s="27">
        <v>21802</v>
      </c>
      <c r="B653" s="480" t="s">
        <v>1050</v>
      </c>
      <c r="C653" s="476"/>
      <c r="D653" s="476"/>
      <c r="E653" s="23">
        <v>-1151465.72</v>
      </c>
      <c r="F653" s="23">
        <v>600000</v>
      </c>
      <c r="H653" s="23">
        <v>0</v>
      </c>
      <c r="J653" s="23">
        <v>-551465.72</v>
      </c>
    </row>
    <row r="654" spans="1:10" ht="15.95" customHeight="1" x14ac:dyDescent="0.2">
      <c r="A654" s="27">
        <v>2180201</v>
      </c>
      <c r="B654" s="480" t="s">
        <v>1051</v>
      </c>
      <c r="C654" s="476"/>
      <c r="D654" s="476"/>
      <c r="E654" s="23">
        <v>-633549.69999999995</v>
      </c>
      <c r="F654" s="23">
        <v>600000</v>
      </c>
      <c r="H654" s="23">
        <v>0</v>
      </c>
      <c r="J654" s="23">
        <v>-33549.699999999997</v>
      </c>
    </row>
    <row r="655" spans="1:10" ht="15.95" customHeight="1" x14ac:dyDescent="0.2">
      <c r="A655" s="27" t="s">
        <v>1052</v>
      </c>
      <c r="B655" s="480" t="s">
        <v>1053</v>
      </c>
      <c r="C655" s="476"/>
      <c r="D655" s="476"/>
      <c r="E655" s="23">
        <v>-633549.69999999995</v>
      </c>
      <c r="F655" s="23">
        <v>600000</v>
      </c>
      <c r="H655" s="23">
        <v>0</v>
      </c>
      <c r="J655" s="23">
        <v>-33549.699999999997</v>
      </c>
    </row>
    <row r="656" spans="1:10" ht="15.95" customHeight="1" x14ac:dyDescent="0.2">
      <c r="A656" s="27">
        <v>2180202</v>
      </c>
      <c r="B656" s="480" t="s">
        <v>1054</v>
      </c>
      <c r="C656" s="476"/>
      <c r="D656" s="476"/>
      <c r="E656" s="23">
        <v>-3333.33</v>
      </c>
      <c r="F656" s="23">
        <v>0</v>
      </c>
      <c r="H656" s="23">
        <v>0</v>
      </c>
      <c r="J656" s="23">
        <v>-3333.33</v>
      </c>
    </row>
    <row r="657" spans="1:10" ht="15.95" customHeight="1" x14ac:dyDescent="0.2">
      <c r="A657" s="27" t="s">
        <v>1055</v>
      </c>
      <c r="B657" s="480" t="s">
        <v>1054</v>
      </c>
      <c r="C657" s="476"/>
      <c r="D657" s="476"/>
      <c r="E657" s="23">
        <v>-3333.33</v>
      </c>
      <c r="F657" s="23">
        <v>0</v>
      </c>
      <c r="H657" s="23">
        <v>0</v>
      </c>
      <c r="J657" s="23">
        <v>-3333.33</v>
      </c>
    </row>
    <row r="658" spans="1:10" ht="15.95" customHeight="1" x14ac:dyDescent="0.2">
      <c r="A658" s="27">
        <v>2180203</v>
      </c>
      <c r="B658" s="480" t="s">
        <v>1056</v>
      </c>
      <c r="C658" s="476"/>
      <c r="D658" s="476"/>
      <c r="E658" s="23">
        <v>-514582.69</v>
      </c>
      <c r="F658" s="23">
        <v>0</v>
      </c>
      <c r="H658" s="23">
        <v>0</v>
      </c>
      <c r="J658" s="23">
        <v>-514582.69</v>
      </c>
    </row>
    <row r="659" spans="1:10" ht="27.95" customHeight="1" x14ac:dyDescent="0.2">
      <c r="A659" s="27" t="s">
        <v>1057</v>
      </c>
      <c r="B659" s="480" t="s">
        <v>1056</v>
      </c>
      <c r="C659" s="476"/>
      <c r="D659" s="476"/>
      <c r="E659" s="23">
        <v>-514582.69</v>
      </c>
      <c r="F659" s="23">
        <v>0</v>
      </c>
      <c r="H659" s="23">
        <v>0</v>
      </c>
      <c r="J659" s="23">
        <v>-514582.69</v>
      </c>
    </row>
    <row r="660" spans="1:10" ht="15.95" customHeight="1" x14ac:dyDescent="0.2">
      <c r="A660" s="484" t="s">
        <v>1446</v>
      </c>
      <c r="B660" s="476"/>
      <c r="C660" s="476"/>
      <c r="D660" s="96" t="s">
        <v>1742</v>
      </c>
      <c r="J660" s="97" t="s">
        <v>1743</v>
      </c>
    </row>
    <row r="661" spans="1:10" ht="20.100000000000001" customHeight="1" x14ac:dyDescent="0.2">
      <c r="A661" s="93" t="s">
        <v>1424</v>
      </c>
      <c r="J661" s="94" t="s">
        <v>1754</v>
      </c>
    </row>
    <row r="662" spans="1:10" ht="15.95" customHeight="1" x14ac:dyDescent="0.2">
      <c r="A662" s="27" t="s">
        <v>1737</v>
      </c>
      <c r="C662" s="27" t="s">
        <v>0</v>
      </c>
      <c r="J662" s="23" t="s">
        <v>1738</v>
      </c>
    </row>
    <row r="663" spans="1:10" ht="14.1" customHeight="1" x14ac:dyDescent="0.2">
      <c r="A663" s="95" t="s">
        <v>1739</v>
      </c>
      <c r="J663" s="23" t="s">
        <v>1740</v>
      </c>
    </row>
    <row r="664" spans="1:10" ht="15" customHeight="1" x14ac:dyDescent="0.2">
      <c r="A664" s="95" t="s">
        <v>1741</v>
      </c>
    </row>
    <row r="665" spans="1:10" ht="23.1" customHeight="1" x14ac:dyDescent="0.2">
      <c r="A665" s="20" t="s">
        <v>55</v>
      </c>
      <c r="B665" s="20" t="s">
        <v>56</v>
      </c>
      <c r="E665" s="21" t="s">
        <v>57</v>
      </c>
      <c r="F665" s="21" t="s">
        <v>58</v>
      </c>
      <c r="H665" s="21" t="s">
        <v>59</v>
      </c>
      <c r="J665" s="21" t="s">
        <v>60</v>
      </c>
    </row>
    <row r="666" spans="1:10" ht="15.95" customHeight="1" x14ac:dyDescent="0.2">
      <c r="A666" s="27">
        <v>219</v>
      </c>
      <c r="B666" s="480" t="s">
        <v>1058</v>
      </c>
      <c r="C666" s="476"/>
      <c r="D666" s="476"/>
      <c r="E666" s="23">
        <v>-2304882.84</v>
      </c>
      <c r="F666" s="23">
        <v>1702620.75</v>
      </c>
      <c r="H666" s="23">
        <v>2478480.48</v>
      </c>
      <c r="J666" s="23">
        <v>-3080742.57</v>
      </c>
    </row>
    <row r="667" spans="1:10" ht="15.95" customHeight="1" x14ac:dyDescent="0.2">
      <c r="A667" s="27">
        <v>21901</v>
      </c>
      <c r="B667" s="480" t="s">
        <v>1058</v>
      </c>
      <c r="C667" s="476"/>
      <c r="D667" s="476"/>
      <c r="E667" s="23">
        <v>-2304882.84</v>
      </c>
      <c r="F667" s="23">
        <v>1702620.75</v>
      </c>
      <c r="H667" s="23">
        <v>2478480.48</v>
      </c>
      <c r="J667" s="23">
        <v>-3080742.57</v>
      </c>
    </row>
    <row r="668" spans="1:10" ht="15.95" customHeight="1" x14ac:dyDescent="0.2">
      <c r="A668" s="27">
        <v>2190101</v>
      </c>
      <c r="B668" s="480" t="s">
        <v>1058</v>
      </c>
      <c r="C668" s="476"/>
      <c r="D668" s="476"/>
      <c r="E668" s="23">
        <v>-2304882.84</v>
      </c>
      <c r="F668" s="23">
        <v>1702620.75</v>
      </c>
      <c r="H668" s="23">
        <v>2478480.48</v>
      </c>
      <c r="J668" s="23">
        <v>-3080742.57</v>
      </c>
    </row>
    <row r="669" spans="1:10" ht="15.95" customHeight="1" x14ac:dyDescent="0.2">
      <c r="A669" s="27" t="s">
        <v>1059</v>
      </c>
      <c r="B669" s="480" t="s">
        <v>1060</v>
      </c>
      <c r="C669" s="476"/>
      <c r="D669" s="476"/>
      <c r="E669" s="23">
        <v>-4091.69</v>
      </c>
      <c r="F669" s="23">
        <v>46492.480000000003</v>
      </c>
      <c r="H669" s="23">
        <v>631384.28</v>
      </c>
      <c r="J669" s="23">
        <v>-588983.49</v>
      </c>
    </row>
    <row r="670" spans="1:10" ht="15.95" customHeight="1" x14ac:dyDescent="0.2">
      <c r="A670" s="27" t="s">
        <v>1061</v>
      </c>
      <c r="B670" s="480" t="s">
        <v>1062</v>
      </c>
      <c r="C670" s="476"/>
      <c r="D670" s="476"/>
      <c r="E670" s="23">
        <v>-1538801.86</v>
      </c>
      <c r="F670" s="23">
        <v>1279801.7</v>
      </c>
      <c r="H670" s="23">
        <v>1264550.8899999999</v>
      </c>
      <c r="J670" s="23">
        <v>-1523551.05</v>
      </c>
    </row>
    <row r="671" spans="1:10" ht="15.95" customHeight="1" x14ac:dyDescent="0.2">
      <c r="A671" s="27" t="s">
        <v>1063</v>
      </c>
      <c r="B671" s="480" t="s">
        <v>1064</v>
      </c>
      <c r="C671" s="476"/>
      <c r="D671" s="476"/>
      <c r="E671" s="23">
        <v>-410860.1</v>
      </c>
      <c r="F671" s="23">
        <v>280314.53999999998</v>
      </c>
      <c r="H671" s="23">
        <v>276242.59999999998</v>
      </c>
      <c r="J671" s="23">
        <v>-406788.16</v>
      </c>
    </row>
    <row r="672" spans="1:10" ht="15.95" customHeight="1" x14ac:dyDescent="0.2">
      <c r="A672" s="27" t="s">
        <v>1065</v>
      </c>
      <c r="B672" s="480" t="s">
        <v>1066</v>
      </c>
      <c r="C672" s="476"/>
      <c r="D672" s="476"/>
      <c r="E672" s="23">
        <v>-123104.15</v>
      </c>
      <c r="F672" s="23">
        <v>83786.850000000006</v>
      </c>
      <c r="H672" s="23">
        <v>82566.83</v>
      </c>
      <c r="J672" s="23">
        <v>-121884.13</v>
      </c>
    </row>
    <row r="673" spans="1:10" ht="15.95" customHeight="1" x14ac:dyDescent="0.2">
      <c r="A673" s="27" t="s">
        <v>1067</v>
      </c>
      <c r="B673" s="480" t="s">
        <v>1068</v>
      </c>
      <c r="C673" s="476"/>
      <c r="D673" s="476"/>
      <c r="E673" s="23">
        <v>-226461.63</v>
      </c>
      <c r="F673" s="23">
        <v>18</v>
      </c>
      <c r="H673" s="23">
        <v>8571.25</v>
      </c>
      <c r="J673" s="23">
        <v>-235014.88</v>
      </c>
    </row>
    <row r="674" spans="1:10" ht="15.95" customHeight="1" x14ac:dyDescent="0.2">
      <c r="A674" s="27" t="s">
        <v>1069</v>
      </c>
      <c r="B674" s="480" t="s">
        <v>1070</v>
      </c>
      <c r="C674" s="476"/>
      <c r="D674" s="476"/>
      <c r="E674" s="23">
        <v>-1204.8399999999999</v>
      </c>
      <c r="F674" s="23">
        <v>9392.85</v>
      </c>
      <c r="H674" s="23">
        <v>165558.96</v>
      </c>
      <c r="J674" s="23">
        <v>-157370.95000000001</v>
      </c>
    </row>
    <row r="675" spans="1:10" ht="15.95" customHeight="1" x14ac:dyDescent="0.2">
      <c r="A675" s="27" t="s">
        <v>1071</v>
      </c>
      <c r="B675" s="480" t="s">
        <v>1072</v>
      </c>
      <c r="C675" s="476"/>
      <c r="D675" s="476"/>
      <c r="E675" s="23">
        <v>-358.57</v>
      </c>
      <c r="F675" s="23">
        <v>2814.33</v>
      </c>
      <c r="H675" s="23">
        <v>49605.67</v>
      </c>
      <c r="J675" s="23">
        <v>-47149.91</v>
      </c>
    </row>
    <row r="676" spans="1:10" ht="15.95" customHeight="1" x14ac:dyDescent="0.2">
      <c r="A676" s="27">
        <v>22</v>
      </c>
      <c r="B676" s="480" t="s">
        <v>1073</v>
      </c>
      <c r="C676" s="476"/>
      <c r="D676" s="476"/>
      <c r="E676" s="23">
        <v>-53695589.869999997</v>
      </c>
      <c r="F676" s="23">
        <v>342870.18</v>
      </c>
      <c r="H676" s="23">
        <v>1658207.93</v>
      </c>
      <c r="J676" s="23">
        <v>-55010927.619999997</v>
      </c>
    </row>
    <row r="677" spans="1:10" ht="15.95" customHeight="1" x14ac:dyDescent="0.2">
      <c r="A677" s="27">
        <v>224</v>
      </c>
      <c r="B677" s="480" t="s">
        <v>1074</v>
      </c>
      <c r="C677" s="476"/>
      <c r="D677" s="476"/>
      <c r="E677" s="23">
        <v>-3540565.58</v>
      </c>
      <c r="F677" s="23">
        <v>342870.18</v>
      </c>
      <c r="H677" s="23">
        <v>116345.17</v>
      </c>
      <c r="J677" s="23">
        <v>-3314040.57</v>
      </c>
    </row>
    <row r="678" spans="1:10" ht="15.95" customHeight="1" x14ac:dyDescent="0.2">
      <c r="A678" s="27">
        <v>22401</v>
      </c>
      <c r="B678" s="480" t="s">
        <v>1075</v>
      </c>
      <c r="C678" s="476"/>
      <c r="D678" s="476"/>
      <c r="E678" s="23">
        <v>-3540565.58</v>
      </c>
      <c r="F678" s="23">
        <v>342870.18</v>
      </c>
      <c r="H678" s="23">
        <v>116345.17</v>
      </c>
      <c r="J678" s="23">
        <v>-3314040.57</v>
      </c>
    </row>
    <row r="679" spans="1:10" ht="15.95" customHeight="1" x14ac:dyDescent="0.2">
      <c r="A679" s="27">
        <v>2240101</v>
      </c>
      <c r="B679" s="480" t="s">
        <v>1075</v>
      </c>
      <c r="C679" s="476"/>
      <c r="D679" s="476"/>
      <c r="E679" s="23">
        <v>-3540565.58</v>
      </c>
      <c r="F679" s="23">
        <v>342870.18</v>
      </c>
      <c r="H679" s="23">
        <v>116345.17</v>
      </c>
      <c r="J679" s="23">
        <v>-3314040.57</v>
      </c>
    </row>
    <row r="680" spans="1:10" ht="15.95" customHeight="1" x14ac:dyDescent="0.2">
      <c r="A680" s="27" t="s">
        <v>1076</v>
      </c>
      <c r="B680" s="480" t="s">
        <v>634</v>
      </c>
      <c r="C680" s="476"/>
      <c r="D680" s="476"/>
      <c r="E680" s="23">
        <v>-3387630.04</v>
      </c>
      <c r="F680" s="23">
        <v>314907.84000000003</v>
      </c>
      <c r="H680" s="23">
        <v>114910.76</v>
      </c>
      <c r="J680" s="23">
        <v>-3187632.96</v>
      </c>
    </row>
    <row r="681" spans="1:10" ht="15.95" customHeight="1" x14ac:dyDescent="0.2">
      <c r="A681" s="27" t="s">
        <v>1077</v>
      </c>
      <c r="B681" s="480" t="s">
        <v>652</v>
      </c>
      <c r="C681" s="476"/>
      <c r="D681" s="476"/>
      <c r="E681" s="23">
        <v>-152935.54</v>
      </c>
      <c r="F681" s="23">
        <v>27962.34</v>
      </c>
      <c r="H681" s="23">
        <v>1434.41</v>
      </c>
      <c r="J681" s="23">
        <v>-126407.61</v>
      </c>
    </row>
    <row r="682" spans="1:10" ht="15.95" customHeight="1" x14ac:dyDescent="0.2">
      <c r="A682" s="27">
        <v>225</v>
      </c>
      <c r="B682" s="480" t="s">
        <v>1078</v>
      </c>
      <c r="C682" s="476"/>
      <c r="D682" s="476"/>
      <c r="E682" s="23">
        <v>-50155024.289999999</v>
      </c>
      <c r="F682" s="23">
        <v>0</v>
      </c>
      <c r="H682" s="23">
        <v>1541862.76</v>
      </c>
      <c r="J682" s="23">
        <v>-51696887.049999997</v>
      </c>
    </row>
    <row r="683" spans="1:10" ht="15.95" customHeight="1" x14ac:dyDescent="0.2">
      <c r="A683" s="27">
        <v>22501</v>
      </c>
      <c r="B683" s="480" t="s">
        <v>1079</v>
      </c>
      <c r="C683" s="476"/>
      <c r="D683" s="476"/>
      <c r="E683" s="23">
        <v>-50155024.289999999</v>
      </c>
      <c r="F683" s="23">
        <v>0</v>
      </c>
      <c r="H683" s="23">
        <v>1541862.76</v>
      </c>
      <c r="J683" s="23">
        <v>-51696887.049999997</v>
      </c>
    </row>
    <row r="684" spans="1:10" ht="15.95" customHeight="1" x14ac:dyDescent="0.2">
      <c r="A684" s="27">
        <v>2250101</v>
      </c>
      <c r="B684" s="480" t="s">
        <v>1079</v>
      </c>
      <c r="C684" s="476"/>
      <c r="D684" s="476"/>
      <c r="E684" s="23">
        <v>-50155024.289999999</v>
      </c>
      <c r="F684" s="23">
        <v>0</v>
      </c>
      <c r="H684" s="23">
        <v>1541862.76</v>
      </c>
      <c r="J684" s="23">
        <v>-51696887.049999997</v>
      </c>
    </row>
    <row r="685" spans="1:10" ht="15.95" customHeight="1" x14ac:dyDescent="0.2">
      <c r="A685" s="27" t="s">
        <v>1080</v>
      </c>
      <c r="B685" s="480" t="s">
        <v>1081</v>
      </c>
      <c r="C685" s="476"/>
      <c r="D685" s="476"/>
      <c r="E685" s="23">
        <v>-50153955.340000004</v>
      </c>
      <c r="F685" s="23">
        <v>0</v>
      </c>
      <c r="H685" s="23">
        <v>1541829.9</v>
      </c>
      <c r="J685" s="23">
        <v>-51695785.240000002</v>
      </c>
    </row>
    <row r="686" spans="1:10" ht="15.95" customHeight="1" x14ac:dyDescent="0.2">
      <c r="A686" s="27" t="s">
        <v>1082</v>
      </c>
      <c r="B686" s="480" t="s">
        <v>1083</v>
      </c>
      <c r="C686" s="476"/>
      <c r="D686" s="476"/>
      <c r="E686" s="23">
        <v>-1068.95</v>
      </c>
      <c r="F686" s="23">
        <v>0</v>
      </c>
      <c r="H686" s="23">
        <v>32.86</v>
      </c>
      <c r="J686" s="23">
        <v>-1101.81</v>
      </c>
    </row>
    <row r="687" spans="1:10" ht="15.95" customHeight="1" x14ac:dyDescent="0.2">
      <c r="A687" s="27">
        <v>23</v>
      </c>
      <c r="B687" s="480" t="s">
        <v>1091</v>
      </c>
      <c r="C687" s="476"/>
      <c r="D687" s="476"/>
      <c r="E687" s="23">
        <v>-265786956.05000001</v>
      </c>
      <c r="F687" s="23">
        <v>75865385.939999998</v>
      </c>
      <c r="H687" s="23">
        <v>59612964.270000003</v>
      </c>
      <c r="J687" s="23">
        <v>-249534534.38</v>
      </c>
    </row>
    <row r="688" spans="1:10" ht="15.95" customHeight="1" x14ac:dyDescent="0.2">
      <c r="A688" s="27">
        <v>231</v>
      </c>
      <c r="B688" s="480" t="s">
        <v>1092</v>
      </c>
      <c r="C688" s="476"/>
      <c r="D688" s="476"/>
      <c r="E688" s="23">
        <v>-332778173.26999998</v>
      </c>
      <c r="F688" s="23">
        <v>59498876</v>
      </c>
      <c r="H688" s="23">
        <v>39415.83</v>
      </c>
      <c r="J688" s="23">
        <v>-273318713.10000002</v>
      </c>
    </row>
    <row r="689" spans="1:10" ht="15.95" customHeight="1" x14ac:dyDescent="0.2">
      <c r="A689" s="27">
        <v>23101</v>
      </c>
      <c r="B689" s="480" t="s">
        <v>1092</v>
      </c>
      <c r="C689" s="476"/>
      <c r="D689" s="476"/>
      <c r="E689" s="23">
        <v>-332778173.26999998</v>
      </c>
      <c r="F689" s="23">
        <v>59498876</v>
      </c>
      <c r="H689" s="23">
        <v>39415.83</v>
      </c>
      <c r="J689" s="23">
        <v>-273318713.10000002</v>
      </c>
    </row>
    <row r="690" spans="1:10" ht="15.95" customHeight="1" x14ac:dyDescent="0.2">
      <c r="A690" s="27">
        <v>2310101</v>
      </c>
      <c r="B690" s="480" t="s">
        <v>1092</v>
      </c>
      <c r="C690" s="476"/>
      <c r="D690" s="476"/>
      <c r="E690" s="23">
        <v>-332778173.26999998</v>
      </c>
      <c r="F690" s="23">
        <v>59498876</v>
      </c>
      <c r="H690" s="23">
        <v>39415.83</v>
      </c>
      <c r="J690" s="23">
        <v>-273318713.10000002</v>
      </c>
    </row>
    <row r="691" spans="1:10" ht="15.95" customHeight="1" x14ac:dyDescent="0.2">
      <c r="A691" s="27" t="s">
        <v>1093</v>
      </c>
      <c r="B691" s="480" t="s">
        <v>1081</v>
      </c>
      <c r="C691" s="476"/>
      <c r="D691" s="476"/>
      <c r="E691" s="23">
        <v>-332557573.77999997</v>
      </c>
      <c r="F691" s="23">
        <v>59459460.170000002</v>
      </c>
      <c r="H691" s="23">
        <v>39415.83</v>
      </c>
      <c r="J691" s="23">
        <v>-273137529.44</v>
      </c>
    </row>
    <row r="692" spans="1:10" ht="15.95" customHeight="1" x14ac:dyDescent="0.2">
      <c r="A692" s="27" t="s">
        <v>1094</v>
      </c>
      <c r="B692" s="480" t="s">
        <v>1083</v>
      </c>
      <c r="C692" s="476"/>
      <c r="D692" s="476"/>
      <c r="E692" s="23">
        <v>-220599.49</v>
      </c>
      <c r="F692" s="23">
        <v>39415.83</v>
      </c>
      <c r="H692" s="23">
        <v>0</v>
      </c>
      <c r="J692" s="23">
        <v>-181183.66</v>
      </c>
    </row>
    <row r="693" spans="1:10" ht="15.95" customHeight="1" x14ac:dyDescent="0.2">
      <c r="A693" s="27">
        <v>234</v>
      </c>
      <c r="B693" s="480" t="s">
        <v>1095</v>
      </c>
      <c r="C693" s="476"/>
      <c r="D693" s="476"/>
      <c r="E693" s="23">
        <v>2783577.44</v>
      </c>
      <c r="F693" s="23">
        <v>0</v>
      </c>
      <c r="H693" s="23">
        <v>0</v>
      </c>
      <c r="J693" s="23">
        <v>2783577.44</v>
      </c>
    </row>
    <row r="694" spans="1:10" ht="15.95" customHeight="1" x14ac:dyDescent="0.2">
      <c r="A694" s="27">
        <v>23401</v>
      </c>
      <c r="B694" s="480" t="s">
        <v>1096</v>
      </c>
      <c r="C694" s="476"/>
      <c r="D694" s="476"/>
      <c r="E694" s="23">
        <v>2783577.44</v>
      </c>
      <c r="F694" s="23">
        <v>0</v>
      </c>
      <c r="H694" s="23">
        <v>0</v>
      </c>
      <c r="J694" s="23">
        <v>2783577.44</v>
      </c>
    </row>
    <row r="695" spans="1:10" ht="15.95" customHeight="1" x14ac:dyDescent="0.2">
      <c r="A695" s="27">
        <v>2340101</v>
      </c>
      <c r="B695" s="480" t="s">
        <v>1096</v>
      </c>
      <c r="C695" s="476"/>
      <c r="D695" s="476"/>
      <c r="E695" s="23">
        <v>2783577.44</v>
      </c>
      <c r="F695" s="23">
        <v>0</v>
      </c>
      <c r="H695" s="23">
        <v>0</v>
      </c>
      <c r="J695" s="23">
        <v>2783577.44</v>
      </c>
    </row>
    <row r="696" spans="1:10" ht="15.95" customHeight="1" x14ac:dyDescent="0.2">
      <c r="A696" s="27" t="s">
        <v>1550</v>
      </c>
      <c r="B696" s="480" t="s">
        <v>1095</v>
      </c>
      <c r="C696" s="476"/>
      <c r="D696" s="476"/>
      <c r="E696" s="23">
        <v>2783577.44</v>
      </c>
      <c r="F696" s="23">
        <v>0</v>
      </c>
      <c r="H696" s="23">
        <v>0</v>
      </c>
      <c r="J696" s="23">
        <v>2783577.44</v>
      </c>
    </row>
    <row r="697" spans="1:10" ht="15.95" customHeight="1" x14ac:dyDescent="0.2">
      <c r="A697" s="27">
        <v>237</v>
      </c>
      <c r="B697" s="480" t="s">
        <v>1099</v>
      </c>
      <c r="C697" s="476"/>
      <c r="D697" s="476"/>
      <c r="E697" s="23">
        <v>-1378805.44</v>
      </c>
      <c r="F697" s="23">
        <v>0</v>
      </c>
      <c r="H697" s="23">
        <v>42737.06</v>
      </c>
      <c r="J697" s="23">
        <v>-1421542.5</v>
      </c>
    </row>
    <row r="698" spans="1:10" ht="15.95" customHeight="1" x14ac:dyDescent="0.2">
      <c r="A698" s="27">
        <v>23701</v>
      </c>
      <c r="B698" s="480" t="s">
        <v>1100</v>
      </c>
      <c r="C698" s="476"/>
      <c r="D698" s="476"/>
      <c r="E698" s="23">
        <v>-1378805.44</v>
      </c>
      <c r="F698" s="23">
        <v>0</v>
      </c>
      <c r="H698" s="23">
        <v>42737.06</v>
      </c>
      <c r="J698" s="23">
        <v>-1421542.5</v>
      </c>
    </row>
    <row r="699" spans="1:10" ht="15.95" customHeight="1" x14ac:dyDescent="0.2">
      <c r="A699" s="27">
        <v>2370101</v>
      </c>
      <c r="B699" s="480" t="s">
        <v>1100</v>
      </c>
      <c r="C699" s="476"/>
      <c r="D699" s="476"/>
      <c r="E699" s="23">
        <v>-1378805.44</v>
      </c>
      <c r="F699" s="23">
        <v>0</v>
      </c>
      <c r="H699" s="23">
        <v>42737.06</v>
      </c>
      <c r="J699" s="23">
        <v>-1421542.5</v>
      </c>
    </row>
    <row r="700" spans="1:10" ht="15.95" customHeight="1" x14ac:dyDescent="0.2">
      <c r="A700" s="27" t="s">
        <v>1101</v>
      </c>
      <c r="B700" s="480" t="s">
        <v>1102</v>
      </c>
      <c r="C700" s="476"/>
      <c r="D700" s="476"/>
      <c r="E700" s="23">
        <v>-1378805.44</v>
      </c>
      <c r="F700" s="23">
        <v>0</v>
      </c>
      <c r="H700" s="23">
        <v>42737.06</v>
      </c>
      <c r="J700" s="23">
        <v>-1421542.5</v>
      </c>
    </row>
    <row r="701" spans="1:10" ht="15.95" customHeight="1" x14ac:dyDescent="0.2">
      <c r="A701" s="27">
        <v>238</v>
      </c>
      <c r="B701" s="480" t="s">
        <v>1103</v>
      </c>
      <c r="C701" s="476"/>
      <c r="D701" s="476"/>
      <c r="E701" s="23">
        <v>-8546606.6600000001</v>
      </c>
      <c r="F701" s="23">
        <v>0</v>
      </c>
      <c r="H701" s="23">
        <v>0</v>
      </c>
      <c r="J701" s="23">
        <v>-8546606.6600000001</v>
      </c>
    </row>
    <row r="702" spans="1:10" ht="15.95" customHeight="1" x14ac:dyDescent="0.2">
      <c r="A702" s="27">
        <v>23801</v>
      </c>
      <c r="B702" s="480" t="s">
        <v>1103</v>
      </c>
      <c r="C702" s="476"/>
      <c r="D702" s="476"/>
      <c r="E702" s="23">
        <v>-8546606.6600000001</v>
      </c>
      <c r="F702" s="23">
        <v>0</v>
      </c>
      <c r="H702" s="23">
        <v>0</v>
      </c>
      <c r="J702" s="23">
        <v>-8546606.6600000001</v>
      </c>
    </row>
    <row r="703" spans="1:10" ht="15.95" customHeight="1" x14ac:dyDescent="0.2">
      <c r="A703" s="27">
        <v>2380101</v>
      </c>
      <c r="B703" s="480" t="s">
        <v>1103</v>
      </c>
      <c r="C703" s="476"/>
      <c r="D703" s="476"/>
      <c r="E703" s="23">
        <v>-8546606.6600000001</v>
      </c>
      <c r="F703" s="23">
        <v>0</v>
      </c>
      <c r="H703" s="23">
        <v>0</v>
      </c>
      <c r="J703" s="23">
        <v>-8546606.6600000001</v>
      </c>
    </row>
    <row r="704" spans="1:10" ht="15.95" customHeight="1" x14ac:dyDescent="0.2">
      <c r="A704" s="27" t="s">
        <v>1104</v>
      </c>
      <c r="B704" s="480" t="s">
        <v>1081</v>
      </c>
      <c r="C704" s="476"/>
      <c r="D704" s="476"/>
      <c r="E704" s="23">
        <v>-8546606.6600000001</v>
      </c>
      <c r="F704" s="23">
        <v>0</v>
      </c>
      <c r="H704" s="23">
        <v>0</v>
      </c>
      <c r="J704" s="23">
        <v>-8546606.6600000001</v>
      </c>
    </row>
    <row r="705" spans="1:10" ht="15.95" customHeight="1" x14ac:dyDescent="0.2">
      <c r="A705" s="27">
        <v>239</v>
      </c>
      <c r="B705" s="480" t="s">
        <v>1105</v>
      </c>
      <c r="C705" s="476"/>
      <c r="D705" s="476"/>
      <c r="E705" s="23">
        <v>74133051.879999995</v>
      </c>
      <c r="F705" s="23">
        <v>16366509.939999999</v>
      </c>
      <c r="H705" s="23">
        <v>59530811.380000003</v>
      </c>
      <c r="J705" s="23">
        <v>30968750.440000001</v>
      </c>
    </row>
    <row r="706" spans="1:10" ht="15.95" customHeight="1" x14ac:dyDescent="0.2">
      <c r="A706" s="27">
        <v>23901</v>
      </c>
      <c r="B706" s="480" t="s">
        <v>1105</v>
      </c>
      <c r="C706" s="476"/>
      <c r="D706" s="476"/>
      <c r="E706" s="23">
        <v>74133051.879999995</v>
      </c>
      <c r="F706" s="23">
        <v>16366509.939999999</v>
      </c>
      <c r="H706" s="23">
        <v>59530811.380000003</v>
      </c>
      <c r="J706" s="23">
        <v>30968750.440000001</v>
      </c>
    </row>
    <row r="707" spans="1:10" ht="15.95" customHeight="1" x14ac:dyDescent="0.2">
      <c r="A707" s="27">
        <v>2390101</v>
      </c>
      <c r="B707" s="480" t="s">
        <v>1106</v>
      </c>
      <c r="C707" s="476"/>
      <c r="D707" s="476"/>
      <c r="E707" s="23">
        <v>-71351.210000000006</v>
      </c>
      <c r="F707" s="23">
        <v>16366509.939999999</v>
      </c>
      <c r="H707" s="23">
        <v>0</v>
      </c>
      <c r="J707" s="23">
        <v>16295158.73</v>
      </c>
    </row>
    <row r="708" spans="1:10" ht="15.95" customHeight="1" x14ac:dyDescent="0.2">
      <c r="A708" s="27" t="s">
        <v>1107</v>
      </c>
      <c r="B708" s="480" t="s">
        <v>1108</v>
      </c>
      <c r="C708" s="476"/>
      <c r="D708" s="476"/>
      <c r="E708" s="23">
        <v>-71351.210000000006</v>
      </c>
      <c r="F708" s="23">
        <v>71351.210000000006</v>
      </c>
      <c r="H708" s="23">
        <v>0</v>
      </c>
      <c r="J708" s="23">
        <v>0</v>
      </c>
    </row>
    <row r="709" spans="1:10" ht="15.95" customHeight="1" x14ac:dyDescent="0.2">
      <c r="A709" s="27" t="s">
        <v>1109</v>
      </c>
      <c r="B709" s="480" t="s">
        <v>1110</v>
      </c>
      <c r="C709" s="476"/>
      <c r="D709" s="476"/>
      <c r="E709" s="23">
        <v>0</v>
      </c>
      <c r="F709" s="23">
        <v>16295158.73</v>
      </c>
      <c r="H709" s="23">
        <v>0</v>
      </c>
      <c r="J709" s="23">
        <v>16295158.73</v>
      </c>
    </row>
    <row r="710" spans="1:10" ht="15.95" customHeight="1" x14ac:dyDescent="0.2">
      <c r="A710" s="27">
        <v>2390102</v>
      </c>
      <c r="B710" s="480" t="s">
        <v>1111</v>
      </c>
      <c r="C710" s="476"/>
      <c r="D710" s="476"/>
      <c r="E710" s="23">
        <v>74204403.090000004</v>
      </c>
      <c r="F710" s="23">
        <v>0</v>
      </c>
      <c r="H710" s="23">
        <v>59530811.380000003</v>
      </c>
      <c r="J710" s="23">
        <v>14673591.710000001</v>
      </c>
    </row>
    <row r="711" spans="1:10" ht="15.95" customHeight="1" x14ac:dyDescent="0.2">
      <c r="A711" s="27" t="s">
        <v>1622</v>
      </c>
      <c r="B711" s="480" t="s">
        <v>1623</v>
      </c>
      <c r="C711" s="476"/>
      <c r="D711" s="476"/>
      <c r="E711" s="23">
        <v>18872365.699999999</v>
      </c>
      <c r="F711" s="23">
        <v>0</v>
      </c>
      <c r="H711" s="23">
        <v>18872365.699999999</v>
      </c>
      <c r="J711" s="23">
        <v>0</v>
      </c>
    </row>
    <row r="712" spans="1:10" ht="15.95" customHeight="1" x14ac:dyDescent="0.2">
      <c r="A712" s="27" t="s">
        <v>1624</v>
      </c>
      <c r="B712" s="480" t="s">
        <v>1625</v>
      </c>
      <c r="C712" s="476"/>
      <c r="D712" s="476"/>
      <c r="E712" s="23">
        <v>22694376.539999999</v>
      </c>
      <c r="F712" s="23">
        <v>0</v>
      </c>
      <c r="H712" s="23">
        <v>22694376.539999999</v>
      </c>
      <c r="J712" s="23">
        <v>0</v>
      </c>
    </row>
    <row r="713" spans="1:10" ht="15.95" customHeight="1" x14ac:dyDescent="0.2">
      <c r="A713" s="27" t="s">
        <v>1626</v>
      </c>
      <c r="B713" s="480" t="s">
        <v>1627</v>
      </c>
      <c r="C713" s="476"/>
      <c r="D713" s="476"/>
      <c r="E713" s="23">
        <v>17892717.93</v>
      </c>
      <c r="F713" s="23">
        <v>0</v>
      </c>
      <c r="H713" s="23">
        <v>17892717.93</v>
      </c>
      <c r="J713" s="23">
        <v>0</v>
      </c>
    </row>
    <row r="714" spans="1:10" ht="15.95" customHeight="1" x14ac:dyDescent="0.2">
      <c r="A714" s="27" t="s">
        <v>1112</v>
      </c>
      <c r="B714" s="480" t="s">
        <v>1113</v>
      </c>
      <c r="C714" s="476"/>
      <c r="D714" s="476"/>
      <c r="E714" s="23">
        <v>14744942.92</v>
      </c>
      <c r="F714" s="23">
        <v>0</v>
      </c>
      <c r="H714" s="23">
        <v>71351.210000000006</v>
      </c>
      <c r="J714" s="23">
        <v>14673591.710000001</v>
      </c>
    </row>
    <row r="715" spans="1:10" ht="15.95" customHeight="1" x14ac:dyDescent="0.2">
      <c r="A715" s="27">
        <v>24</v>
      </c>
      <c r="B715" s="480" t="s">
        <v>1119</v>
      </c>
      <c r="C715" s="476"/>
      <c r="D715" s="476"/>
      <c r="E715" s="23">
        <v>-1236717.49</v>
      </c>
      <c r="F715" s="23">
        <v>0</v>
      </c>
      <c r="H715" s="23">
        <v>0</v>
      </c>
      <c r="J715" s="23">
        <v>-1236717.49</v>
      </c>
    </row>
    <row r="716" spans="1:10" ht="15.95" customHeight="1" x14ac:dyDescent="0.2">
      <c r="A716" s="27">
        <v>241</v>
      </c>
      <c r="B716" s="480" t="s">
        <v>456</v>
      </c>
      <c r="C716" s="476"/>
      <c r="D716" s="476"/>
      <c r="E716" s="23">
        <v>-1236717.49</v>
      </c>
      <c r="F716" s="23">
        <v>0</v>
      </c>
      <c r="H716" s="23">
        <v>0</v>
      </c>
      <c r="J716" s="23">
        <v>-1236717.49</v>
      </c>
    </row>
    <row r="717" spans="1:10" ht="15.95" customHeight="1" x14ac:dyDescent="0.2">
      <c r="A717" s="27">
        <v>24101</v>
      </c>
      <c r="B717" s="480" t="s">
        <v>1120</v>
      </c>
      <c r="C717" s="476"/>
      <c r="D717" s="476"/>
      <c r="E717" s="23">
        <v>-1236717.49</v>
      </c>
      <c r="F717" s="23">
        <v>0</v>
      </c>
      <c r="H717" s="23">
        <v>0</v>
      </c>
      <c r="J717" s="23">
        <v>-1236717.49</v>
      </c>
    </row>
    <row r="718" spans="1:10" ht="15.95" customHeight="1" x14ac:dyDescent="0.2">
      <c r="A718" s="27">
        <v>2410101</v>
      </c>
      <c r="B718" s="480" t="s">
        <v>457</v>
      </c>
      <c r="C718" s="476"/>
      <c r="D718" s="476"/>
      <c r="E718" s="23">
        <v>-1236717.49</v>
      </c>
      <c r="F718" s="23">
        <v>0</v>
      </c>
      <c r="H718" s="23">
        <v>0</v>
      </c>
      <c r="J718" s="23">
        <v>-1236717.49</v>
      </c>
    </row>
    <row r="719" spans="1:10" ht="27.95" customHeight="1" x14ac:dyDescent="0.2">
      <c r="A719" s="27" t="s">
        <v>1121</v>
      </c>
      <c r="B719" s="480" t="s">
        <v>459</v>
      </c>
      <c r="C719" s="476"/>
      <c r="D719" s="476"/>
      <c r="E719" s="23">
        <v>-1236717.49</v>
      </c>
      <c r="F719" s="23">
        <v>0</v>
      </c>
      <c r="H719" s="23">
        <v>0</v>
      </c>
      <c r="J719" s="23">
        <v>-1236717.49</v>
      </c>
    </row>
    <row r="720" spans="1:10" ht="15.95" customHeight="1" x14ac:dyDescent="0.2">
      <c r="A720" s="484" t="s">
        <v>1446</v>
      </c>
      <c r="B720" s="476"/>
      <c r="C720" s="476"/>
      <c r="D720" s="96" t="s">
        <v>1742</v>
      </c>
      <c r="J720" s="97" t="s">
        <v>1743</v>
      </c>
    </row>
    <row r="721" spans="1:10" ht="20.100000000000001" customHeight="1" x14ac:dyDescent="0.2">
      <c r="A721" s="93" t="s">
        <v>1424</v>
      </c>
      <c r="J721" s="94" t="s">
        <v>1755</v>
      </c>
    </row>
    <row r="722" spans="1:10" ht="15.95" customHeight="1" x14ac:dyDescent="0.2">
      <c r="A722" s="27" t="s">
        <v>1737</v>
      </c>
      <c r="C722" s="27" t="s">
        <v>0</v>
      </c>
      <c r="J722" s="23" t="s">
        <v>1738</v>
      </c>
    </row>
    <row r="723" spans="1:10" ht="14.1" customHeight="1" x14ac:dyDescent="0.2">
      <c r="A723" s="95" t="s">
        <v>1739</v>
      </c>
      <c r="J723" s="23" t="s">
        <v>1740</v>
      </c>
    </row>
    <row r="724" spans="1:10" ht="15" customHeight="1" x14ac:dyDescent="0.2">
      <c r="A724" s="95" t="s">
        <v>1741</v>
      </c>
    </row>
    <row r="725" spans="1:10" ht="23.1" customHeight="1" x14ac:dyDescent="0.2">
      <c r="A725" s="20" t="s">
        <v>55</v>
      </c>
      <c r="B725" s="20" t="s">
        <v>56</v>
      </c>
      <c r="E725" s="21" t="s">
        <v>57</v>
      </c>
      <c r="F725" s="21" t="s">
        <v>58</v>
      </c>
      <c r="H725" s="21" t="s">
        <v>59</v>
      </c>
      <c r="J725" s="21" t="s">
        <v>60</v>
      </c>
    </row>
    <row r="726" spans="1:10" ht="15.95" customHeight="1" x14ac:dyDescent="0.2">
      <c r="A726" s="27">
        <v>3</v>
      </c>
      <c r="B726" s="480" t="s">
        <v>1122</v>
      </c>
      <c r="C726" s="476"/>
      <c r="D726" s="476"/>
      <c r="E726" s="23">
        <v>0</v>
      </c>
      <c r="F726" s="23">
        <v>5191117.3499999996</v>
      </c>
      <c r="H726" s="23">
        <v>31050814.399999999</v>
      </c>
      <c r="J726" s="23">
        <v>-25859697.050000001</v>
      </c>
    </row>
    <row r="727" spans="1:10" ht="15.95" customHeight="1" x14ac:dyDescent="0.2">
      <c r="A727" s="27">
        <v>31</v>
      </c>
      <c r="B727" s="480" t="s">
        <v>1123</v>
      </c>
      <c r="C727" s="476"/>
      <c r="D727" s="476"/>
      <c r="E727" s="23">
        <v>0</v>
      </c>
      <c r="F727" s="23">
        <v>0</v>
      </c>
      <c r="H727" s="23">
        <v>31050795.129999999</v>
      </c>
      <c r="J727" s="23">
        <v>-31050795.129999999</v>
      </c>
    </row>
    <row r="728" spans="1:10" ht="15.95" customHeight="1" x14ac:dyDescent="0.2">
      <c r="A728" s="27">
        <v>311</v>
      </c>
      <c r="B728" s="480" t="s">
        <v>1124</v>
      </c>
      <c r="C728" s="476"/>
      <c r="D728" s="476"/>
      <c r="E728" s="23">
        <v>0</v>
      </c>
      <c r="F728" s="23">
        <v>0</v>
      </c>
      <c r="H728" s="23">
        <v>31050795.129999999</v>
      </c>
      <c r="J728" s="23">
        <v>-31050795.129999999</v>
      </c>
    </row>
    <row r="729" spans="1:10" ht="15.95" customHeight="1" x14ac:dyDescent="0.2">
      <c r="A729" s="27">
        <v>31101</v>
      </c>
      <c r="B729" s="480" t="s">
        <v>1125</v>
      </c>
      <c r="C729" s="476"/>
      <c r="D729" s="476"/>
      <c r="E729" s="23">
        <v>0</v>
      </c>
      <c r="F729" s="23">
        <v>0</v>
      </c>
      <c r="H729" s="23">
        <v>27193776.600000001</v>
      </c>
      <c r="J729" s="23">
        <v>-27193776.600000001</v>
      </c>
    </row>
    <row r="730" spans="1:10" ht="15.95" customHeight="1" x14ac:dyDescent="0.2">
      <c r="A730" s="27">
        <v>3110101</v>
      </c>
      <c r="B730" s="480" t="s">
        <v>1126</v>
      </c>
      <c r="C730" s="476"/>
      <c r="D730" s="476"/>
      <c r="E730" s="23">
        <v>0</v>
      </c>
      <c r="F730" s="23">
        <v>0</v>
      </c>
      <c r="H730" s="23">
        <v>27193776.600000001</v>
      </c>
      <c r="J730" s="23">
        <v>-27193776.600000001</v>
      </c>
    </row>
    <row r="731" spans="1:10" ht="15.95" customHeight="1" x14ac:dyDescent="0.2">
      <c r="A731" s="27" t="s">
        <v>1127</v>
      </c>
      <c r="B731" s="480" t="s">
        <v>1128</v>
      </c>
      <c r="C731" s="476"/>
      <c r="D731" s="476"/>
      <c r="E731" s="23">
        <v>0</v>
      </c>
      <c r="F731" s="23">
        <v>0</v>
      </c>
      <c r="H731" s="23">
        <v>8330327.3300000001</v>
      </c>
      <c r="J731" s="23">
        <v>-8330327.3300000001</v>
      </c>
    </row>
    <row r="732" spans="1:10" ht="15.95" customHeight="1" x14ac:dyDescent="0.2">
      <c r="A732" s="27" t="s">
        <v>1129</v>
      </c>
      <c r="B732" s="480" t="s">
        <v>1130</v>
      </c>
      <c r="C732" s="476"/>
      <c r="D732" s="476"/>
      <c r="E732" s="23">
        <v>0</v>
      </c>
      <c r="F732" s="23">
        <v>0</v>
      </c>
      <c r="H732" s="23">
        <v>1426950.82</v>
      </c>
      <c r="J732" s="23">
        <v>-1426950.82</v>
      </c>
    </row>
    <row r="733" spans="1:10" ht="15.95" customHeight="1" x14ac:dyDescent="0.2">
      <c r="A733" s="27" t="s">
        <v>1131</v>
      </c>
      <c r="B733" s="480" t="s">
        <v>1132</v>
      </c>
      <c r="C733" s="476"/>
      <c r="D733" s="476"/>
      <c r="E733" s="23">
        <v>0</v>
      </c>
      <c r="F733" s="23">
        <v>0</v>
      </c>
      <c r="H733" s="23">
        <v>11426729.289999999</v>
      </c>
      <c r="J733" s="23">
        <v>-11426729.289999999</v>
      </c>
    </row>
    <row r="734" spans="1:10" ht="15.95" customHeight="1" x14ac:dyDescent="0.2">
      <c r="A734" s="27" t="s">
        <v>1133</v>
      </c>
      <c r="B734" s="480" t="s">
        <v>1134</v>
      </c>
      <c r="C734" s="476"/>
      <c r="D734" s="476"/>
      <c r="E734" s="23">
        <v>0</v>
      </c>
      <c r="F734" s="23">
        <v>0</v>
      </c>
      <c r="H734" s="23">
        <v>858835.55</v>
      </c>
      <c r="J734" s="23">
        <v>-858835.55</v>
      </c>
    </row>
    <row r="735" spans="1:10" ht="15.95" customHeight="1" x14ac:dyDescent="0.2">
      <c r="A735" s="27" t="s">
        <v>1135</v>
      </c>
      <c r="B735" s="480" t="s">
        <v>1136</v>
      </c>
      <c r="C735" s="476"/>
      <c r="D735" s="476"/>
      <c r="E735" s="23">
        <v>0</v>
      </c>
      <c r="F735" s="23">
        <v>0</v>
      </c>
      <c r="H735" s="23">
        <v>5150933.6100000003</v>
      </c>
      <c r="J735" s="23">
        <v>-5150933.6100000003</v>
      </c>
    </row>
    <row r="736" spans="1:10" ht="15.95" customHeight="1" x14ac:dyDescent="0.2">
      <c r="A736" s="27">
        <v>31103</v>
      </c>
      <c r="B736" s="480" t="s">
        <v>1137</v>
      </c>
      <c r="C736" s="476"/>
      <c r="D736" s="476"/>
      <c r="E736" s="23">
        <v>0</v>
      </c>
      <c r="F736" s="23">
        <v>0</v>
      </c>
      <c r="H736" s="23">
        <v>3857018.53</v>
      </c>
      <c r="J736" s="23">
        <v>-3857018.53</v>
      </c>
    </row>
    <row r="737" spans="1:10" ht="15.95" customHeight="1" x14ac:dyDescent="0.2">
      <c r="A737" s="27">
        <v>3110301</v>
      </c>
      <c r="B737" s="480" t="s">
        <v>1138</v>
      </c>
      <c r="C737" s="476"/>
      <c r="D737" s="476"/>
      <c r="E737" s="23">
        <v>0</v>
      </c>
      <c r="F737" s="23">
        <v>0</v>
      </c>
      <c r="H737" s="23">
        <v>3857018.53</v>
      </c>
      <c r="J737" s="23">
        <v>-3857018.53</v>
      </c>
    </row>
    <row r="738" spans="1:10" ht="15.95" customHeight="1" x14ac:dyDescent="0.2">
      <c r="A738" s="27" t="s">
        <v>1139</v>
      </c>
      <c r="B738" s="480" t="s">
        <v>1140</v>
      </c>
      <c r="C738" s="476"/>
      <c r="D738" s="476"/>
      <c r="E738" s="23">
        <v>0</v>
      </c>
      <c r="F738" s="23">
        <v>0</v>
      </c>
      <c r="H738" s="23">
        <v>3731806.03</v>
      </c>
      <c r="J738" s="23">
        <v>-3731806.03</v>
      </c>
    </row>
    <row r="739" spans="1:10" ht="15.95" customHeight="1" x14ac:dyDescent="0.2">
      <c r="A739" s="27" t="s">
        <v>1551</v>
      </c>
      <c r="B739" s="480" t="s">
        <v>1552</v>
      </c>
      <c r="C739" s="476"/>
      <c r="D739" s="476"/>
      <c r="E739" s="23">
        <v>0</v>
      </c>
      <c r="F739" s="23">
        <v>0</v>
      </c>
      <c r="H739" s="23">
        <v>125212.5</v>
      </c>
      <c r="J739" s="23">
        <v>-125212.5</v>
      </c>
    </row>
    <row r="740" spans="1:10" ht="15.95" customHeight="1" x14ac:dyDescent="0.2">
      <c r="A740" s="27">
        <v>32</v>
      </c>
      <c r="B740" s="480" t="s">
        <v>1141</v>
      </c>
      <c r="C740" s="476"/>
      <c r="D740" s="476"/>
      <c r="E740" s="23">
        <v>0</v>
      </c>
      <c r="F740" s="23">
        <v>5191117.3499999996</v>
      </c>
      <c r="H740" s="23">
        <v>19.27</v>
      </c>
      <c r="J740" s="23">
        <v>5191098.08</v>
      </c>
    </row>
    <row r="741" spans="1:10" ht="15.95" customHeight="1" x14ac:dyDescent="0.2">
      <c r="A741" s="27">
        <v>321</v>
      </c>
      <c r="B741" s="480" t="s">
        <v>1124</v>
      </c>
      <c r="C741" s="476"/>
      <c r="D741" s="476"/>
      <c r="E741" s="23">
        <v>0</v>
      </c>
      <c r="F741" s="23">
        <v>5191117.3499999996</v>
      </c>
      <c r="H741" s="23">
        <v>19.27</v>
      </c>
      <c r="J741" s="23">
        <v>5191098.08</v>
      </c>
    </row>
    <row r="742" spans="1:10" ht="15.95" customHeight="1" x14ac:dyDescent="0.2">
      <c r="A742" s="27">
        <v>32101</v>
      </c>
      <c r="B742" s="480" t="s">
        <v>1142</v>
      </c>
      <c r="C742" s="476"/>
      <c r="D742" s="476"/>
      <c r="E742" s="23">
        <v>0</v>
      </c>
      <c r="F742" s="23">
        <v>5191117.3499999996</v>
      </c>
      <c r="H742" s="23">
        <v>19.27</v>
      </c>
      <c r="J742" s="23">
        <v>5191098.08</v>
      </c>
    </row>
    <row r="743" spans="1:10" ht="15.95" customHeight="1" x14ac:dyDescent="0.2">
      <c r="A743" s="27">
        <v>3210101</v>
      </c>
      <c r="B743" s="480" t="s">
        <v>1143</v>
      </c>
      <c r="C743" s="476"/>
      <c r="D743" s="476"/>
      <c r="E743" s="23">
        <v>0</v>
      </c>
      <c r="F743" s="23">
        <v>3921795.55</v>
      </c>
      <c r="H743" s="23">
        <v>0</v>
      </c>
      <c r="J743" s="23">
        <v>3921795.55</v>
      </c>
    </row>
    <row r="744" spans="1:10" ht="15.95" customHeight="1" x14ac:dyDescent="0.2">
      <c r="A744" s="27" t="s">
        <v>1144</v>
      </c>
      <c r="B744" s="480" t="s">
        <v>1145</v>
      </c>
      <c r="C744" s="476"/>
      <c r="D744" s="476"/>
      <c r="E744" s="23">
        <v>0</v>
      </c>
      <c r="F744" s="23">
        <v>462401.46</v>
      </c>
      <c r="H744" s="23">
        <v>0</v>
      </c>
      <c r="J744" s="23">
        <v>462401.46</v>
      </c>
    </row>
    <row r="745" spans="1:10" ht="15.95" customHeight="1" x14ac:dyDescent="0.2">
      <c r="A745" s="27" t="s">
        <v>1146</v>
      </c>
      <c r="B745" s="480" t="s">
        <v>1147</v>
      </c>
      <c r="C745" s="476"/>
      <c r="D745" s="476"/>
      <c r="E745" s="23">
        <v>0</v>
      </c>
      <c r="F745" s="23">
        <v>2132354.7000000002</v>
      </c>
      <c r="H745" s="23">
        <v>0</v>
      </c>
      <c r="J745" s="23">
        <v>2132354.7000000002</v>
      </c>
    </row>
    <row r="746" spans="1:10" ht="15.95" customHeight="1" x14ac:dyDescent="0.2">
      <c r="A746" s="27" t="s">
        <v>1148</v>
      </c>
      <c r="B746" s="480" t="s">
        <v>1149</v>
      </c>
      <c r="C746" s="476"/>
      <c r="D746" s="476"/>
      <c r="E746" s="23">
        <v>0</v>
      </c>
      <c r="F746" s="23">
        <v>1327039.3899999999</v>
      </c>
      <c r="H746" s="23">
        <v>0</v>
      </c>
      <c r="J746" s="23">
        <v>1327039.3899999999</v>
      </c>
    </row>
    <row r="747" spans="1:10" ht="15.95" customHeight="1" x14ac:dyDescent="0.2">
      <c r="A747" s="27">
        <v>3210102</v>
      </c>
      <c r="B747" s="480" t="s">
        <v>1150</v>
      </c>
      <c r="C747" s="476"/>
      <c r="D747" s="476"/>
      <c r="E747" s="23">
        <v>0</v>
      </c>
      <c r="F747" s="23">
        <v>1269321.8</v>
      </c>
      <c r="H747" s="23">
        <v>19.27</v>
      </c>
      <c r="J747" s="23">
        <v>1269302.53</v>
      </c>
    </row>
    <row r="748" spans="1:10" ht="15.95" customHeight="1" x14ac:dyDescent="0.2">
      <c r="A748" s="27" t="s">
        <v>1151</v>
      </c>
      <c r="B748" s="480" t="s">
        <v>1152</v>
      </c>
      <c r="C748" s="476"/>
      <c r="D748" s="476"/>
      <c r="E748" s="23">
        <v>0</v>
      </c>
      <c r="F748" s="23">
        <v>440552.27</v>
      </c>
      <c r="H748" s="23">
        <v>0</v>
      </c>
      <c r="J748" s="23">
        <v>440552.27</v>
      </c>
    </row>
    <row r="749" spans="1:10" ht="15.95" customHeight="1" x14ac:dyDescent="0.2">
      <c r="A749" s="27" t="s">
        <v>1153</v>
      </c>
      <c r="B749" s="480" t="s">
        <v>1154</v>
      </c>
      <c r="C749" s="476"/>
      <c r="D749" s="476"/>
      <c r="E749" s="23">
        <v>0</v>
      </c>
      <c r="F749" s="23">
        <v>45010.68</v>
      </c>
      <c r="H749" s="23">
        <v>0</v>
      </c>
      <c r="J749" s="23">
        <v>45010.68</v>
      </c>
    </row>
    <row r="750" spans="1:10" ht="15.95" customHeight="1" x14ac:dyDescent="0.2">
      <c r="A750" s="27" t="s">
        <v>1155</v>
      </c>
      <c r="B750" s="480" t="s">
        <v>1156</v>
      </c>
      <c r="C750" s="476"/>
      <c r="D750" s="476"/>
      <c r="E750" s="23">
        <v>0</v>
      </c>
      <c r="F750" s="23">
        <v>425856.78</v>
      </c>
      <c r="H750" s="23">
        <v>0</v>
      </c>
      <c r="J750" s="23">
        <v>425856.78</v>
      </c>
    </row>
    <row r="751" spans="1:10" ht="15.95" customHeight="1" x14ac:dyDescent="0.2">
      <c r="A751" s="27" t="s">
        <v>1157</v>
      </c>
      <c r="B751" s="480" t="s">
        <v>1134</v>
      </c>
      <c r="C751" s="476"/>
      <c r="D751" s="476"/>
      <c r="E751" s="23">
        <v>0</v>
      </c>
      <c r="F751" s="23">
        <v>67275.179999999993</v>
      </c>
      <c r="H751" s="23">
        <v>19.27</v>
      </c>
      <c r="J751" s="23">
        <v>67255.91</v>
      </c>
    </row>
    <row r="752" spans="1:10" ht="15.95" customHeight="1" x14ac:dyDescent="0.2">
      <c r="A752" s="27" t="s">
        <v>1158</v>
      </c>
      <c r="B752" s="480" t="s">
        <v>1136</v>
      </c>
      <c r="C752" s="476"/>
      <c r="D752" s="476"/>
      <c r="E752" s="23">
        <v>0</v>
      </c>
      <c r="F752" s="23">
        <v>254935.89</v>
      </c>
      <c r="H752" s="23">
        <v>0</v>
      </c>
      <c r="J752" s="23">
        <v>254935.89</v>
      </c>
    </row>
    <row r="753" spans="1:10" ht="15.95" customHeight="1" x14ac:dyDescent="0.2">
      <c r="A753" s="27" t="s">
        <v>1628</v>
      </c>
      <c r="B753" s="480" t="s">
        <v>1552</v>
      </c>
      <c r="C753" s="476"/>
      <c r="D753" s="476"/>
      <c r="E753" s="23">
        <v>0</v>
      </c>
      <c r="F753" s="23">
        <v>35691</v>
      </c>
      <c r="H753" s="23">
        <v>0</v>
      </c>
      <c r="J753" s="23">
        <v>35691</v>
      </c>
    </row>
    <row r="754" spans="1:10" ht="15.95" customHeight="1" x14ac:dyDescent="0.2">
      <c r="A754" s="27">
        <v>4</v>
      </c>
      <c r="B754" s="480" t="s">
        <v>1160</v>
      </c>
      <c r="C754" s="476"/>
      <c r="D754" s="476"/>
      <c r="E754" s="23">
        <v>0</v>
      </c>
      <c r="F754" s="23">
        <v>22987294.079999998</v>
      </c>
      <c r="H754" s="23">
        <v>1878562.15</v>
      </c>
      <c r="J754" s="23">
        <v>21108731.93</v>
      </c>
    </row>
    <row r="755" spans="1:10" ht="15.95" customHeight="1" x14ac:dyDescent="0.2">
      <c r="A755" s="27">
        <v>41</v>
      </c>
      <c r="B755" s="480" t="s">
        <v>1161</v>
      </c>
      <c r="C755" s="476"/>
      <c r="D755" s="476"/>
      <c r="E755" s="23">
        <v>0</v>
      </c>
      <c r="F755" s="23">
        <v>22987294.079999998</v>
      </c>
      <c r="H755" s="23">
        <v>1878562.15</v>
      </c>
      <c r="J755" s="23">
        <v>21108731.93</v>
      </c>
    </row>
    <row r="756" spans="1:10" ht="15.95" customHeight="1" x14ac:dyDescent="0.2">
      <c r="A756" s="27">
        <v>411</v>
      </c>
      <c r="B756" s="480" t="s">
        <v>1161</v>
      </c>
      <c r="C756" s="476"/>
      <c r="D756" s="476"/>
      <c r="E756" s="23">
        <v>0</v>
      </c>
      <c r="F756" s="23">
        <v>22987294.079999998</v>
      </c>
      <c r="H756" s="23">
        <v>1878562.15</v>
      </c>
      <c r="J756" s="23">
        <v>21108731.93</v>
      </c>
    </row>
    <row r="757" spans="1:10" ht="15.95" customHeight="1" x14ac:dyDescent="0.2">
      <c r="A757" s="27">
        <v>41101</v>
      </c>
      <c r="B757" s="480" t="s">
        <v>1161</v>
      </c>
      <c r="C757" s="476"/>
      <c r="D757" s="476"/>
      <c r="E757" s="23">
        <v>0</v>
      </c>
      <c r="F757" s="23">
        <v>22987294.079999998</v>
      </c>
      <c r="H757" s="23">
        <v>1878562.15</v>
      </c>
      <c r="J757" s="23">
        <v>21108731.93</v>
      </c>
    </row>
    <row r="758" spans="1:10" ht="15.95" customHeight="1" x14ac:dyDescent="0.2">
      <c r="A758" s="27">
        <v>4110101</v>
      </c>
      <c r="B758" s="480" t="s">
        <v>1162</v>
      </c>
      <c r="C758" s="476"/>
      <c r="D758" s="476"/>
      <c r="E758" s="23">
        <v>0</v>
      </c>
      <c r="F758" s="23">
        <v>6832021.8799999999</v>
      </c>
      <c r="H758" s="23">
        <v>638906.67000000004</v>
      </c>
      <c r="J758" s="23">
        <v>6193115.21</v>
      </c>
    </row>
    <row r="759" spans="1:10" ht="15.95" customHeight="1" x14ac:dyDescent="0.2">
      <c r="A759" s="27" t="s">
        <v>1163</v>
      </c>
      <c r="B759" s="480" t="s">
        <v>1164</v>
      </c>
      <c r="C759" s="476"/>
      <c r="D759" s="476"/>
      <c r="E759" s="23">
        <v>0</v>
      </c>
      <c r="F759" s="23">
        <v>1613906.28</v>
      </c>
      <c r="H759" s="23">
        <v>51553.89</v>
      </c>
      <c r="J759" s="23">
        <v>1562352.39</v>
      </c>
    </row>
    <row r="760" spans="1:10" ht="15.95" customHeight="1" x14ac:dyDescent="0.2">
      <c r="A760" s="27" t="s">
        <v>1165</v>
      </c>
      <c r="B760" s="480" t="s">
        <v>1166</v>
      </c>
      <c r="C760" s="476"/>
      <c r="D760" s="476"/>
      <c r="E760" s="23">
        <v>0</v>
      </c>
      <c r="F760" s="23">
        <v>716199.97</v>
      </c>
      <c r="H760" s="23">
        <v>342.5</v>
      </c>
      <c r="J760" s="23">
        <v>715857.47</v>
      </c>
    </row>
    <row r="761" spans="1:10" ht="15.95" customHeight="1" x14ac:dyDescent="0.2">
      <c r="A761" s="27" t="s">
        <v>1167</v>
      </c>
      <c r="B761" s="480" t="s">
        <v>1168</v>
      </c>
      <c r="C761" s="476"/>
      <c r="D761" s="476"/>
      <c r="E761" s="23">
        <v>0</v>
      </c>
      <c r="F761" s="23">
        <v>304576.62</v>
      </c>
      <c r="H761" s="23">
        <v>62.46</v>
      </c>
      <c r="J761" s="23">
        <v>304514.15999999997</v>
      </c>
    </row>
    <row r="762" spans="1:10" ht="15.95" customHeight="1" x14ac:dyDescent="0.2">
      <c r="A762" s="27" t="s">
        <v>1169</v>
      </c>
      <c r="B762" s="480" t="s">
        <v>1170</v>
      </c>
      <c r="C762" s="476"/>
      <c r="D762" s="476"/>
      <c r="E762" s="23">
        <v>0</v>
      </c>
      <c r="F762" s="23">
        <v>191580.76</v>
      </c>
      <c r="H762" s="23">
        <v>40.520000000000003</v>
      </c>
      <c r="J762" s="23">
        <v>191540.24</v>
      </c>
    </row>
    <row r="763" spans="1:10" ht="15.95" customHeight="1" x14ac:dyDescent="0.2">
      <c r="A763" s="27" t="s">
        <v>1171</v>
      </c>
      <c r="B763" s="480" t="s">
        <v>1172</v>
      </c>
      <c r="C763" s="476"/>
      <c r="D763" s="476"/>
      <c r="E763" s="23">
        <v>0</v>
      </c>
      <c r="F763" s="23">
        <v>500198.99</v>
      </c>
      <c r="H763" s="23">
        <v>238540.52</v>
      </c>
      <c r="J763" s="23">
        <v>261658.47</v>
      </c>
    </row>
    <row r="764" spans="1:10" ht="15.95" customHeight="1" x14ac:dyDescent="0.2">
      <c r="A764" s="27" t="s">
        <v>1173</v>
      </c>
      <c r="B764" s="480" t="s">
        <v>1174</v>
      </c>
      <c r="C764" s="476"/>
      <c r="D764" s="476"/>
      <c r="E764" s="23">
        <v>0</v>
      </c>
      <c r="F764" s="23">
        <v>287950.31</v>
      </c>
      <c r="H764" s="23">
        <v>11477.06</v>
      </c>
      <c r="J764" s="23">
        <v>276473.25</v>
      </c>
    </row>
    <row r="765" spans="1:10" ht="15.95" customHeight="1" x14ac:dyDescent="0.2">
      <c r="A765" s="27" t="s">
        <v>1175</v>
      </c>
      <c r="B765" s="480" t="s">
        <v>1176</v>
      </c>
      <c r="C765" s="476"/>
      <c r="D765" s="476"/>
      <c r="E765" s="23">
        <v>0</v>
      </c>
      <c r="F765" s="23">
        <v>1206747.02</v>
      </c>
      <c r="H765" s="23">
        <v>56550.35</v>
      </c>
      <c r="J765" s="23">
        <v>1150196.67</v>
      </c>
    </row>
    <row r="766" spans="1:10" ht="15.95" customHeight="1" x14ac:dyDescent="0.2">
      <c r="A766" s="27" t="s">
        <v>1177</v>
      </c>
      <c r="B766" s="480" t="s">
        <v>1178</v>
      </c>
      <c r="C766" s="476"/>
      <c r="D766" s="476"/>
      <c r="E766" s="23">
        <v>0</v>
      </c>
      <c r="F766" s="23">
        <v>333097.78999999998</v>
      </c>
      <c r="H766" s="23">
        <v>16846.2</v>
      </c>
      <c r="J766" s="23">
        <v>316251.59000000003</v>
      </c>
    </row>
    <row r="767" spans="1:10" ht="15.95" customHeight="1" x14ac:dyDescent="0.2">
      <c r="A767" s="27" t="s">
        <v>1179</v>
      </c>
      <c r="B767" s="480" t="s">
        <v>1180</v>
      </c>
      <c r="C767" s="476"/>
      <c r="D767" s="476"/>
      <c r="E767" s="23">
        <v>0</v>
      </c>
      <c r="F767" s="23">
        <v>318538.13</v>
      </c>
      <c r="H767" s="23">
        <v>71043.63</v>
      </c>
      <c r="J767" s="23">
        <v>247494.5</v>
      </c>
    </row>
    <row r="768" spans="1:10" ht="15.95" customHeight="1" x14ac:dyDescent="0.2">
      <c r="A768" s="27" t="s">
        <v>1181</v>
      </c>
      <c r="B768" s="480" t="s">
        <v>1182</v>
      </c>
      <c r="C768" s="476"/>
      <c r="D768" s="476"/>
      <c r="E768" s="23">
        <v>0</v>
      </c>
      <c r="F768" s="23">
        <v>353734.34</v>
      </c>
      <c r="H768" s="23">
        <v>151926.53</v>
      </c>
      <c r="J768" s="23">
        <v>201807.81</v>
      </c>
    </row>
    <row r="769" spans="1:10" ht="15.95" customHeight="1" x14ac:dyDescent="0.2">
      <c r="A769" s="27" t="s">
        <v>1183</v>
      </c>
      <c r="B769" s="480" t="s">
        <v>1184</v>
      </c>
      <c r="C769" s="476"/>
      <c r="D769" s="476"/>
      <c r="E769" s="23">
        <v>0</v>
      </c>
      <c r="F769" s="23">
        <v>11451.8</v>
      </c>
      <c r="H769" s="23">
        <v>3947.24</v>
      </c>
      <c r="J769" s="23">
        <v>7504.56</v>
      </c>
    </row>
    <row r="770" spans="1:10" ht="15.95" customHeight="1" x14ac:dyDescent="0.2">
      <c r="A770" s="27" t="s">
        <v>1185</v>
      </c>
      <c r="B770" s="480" t="s">
        <v>1186</v>
      </c>
      <c r="C770" s="476"/>
      <c r="D770" s="476"/>
      <c r="E770" s="23">
        <v>0</v>
      </c>
      <c r="F770" s="23">
        <v>356134.94</v>
      </c>
      <c r="H770" s="23">
        <v>17190.12</v>
      </c>
      <c r="J770" s="23">
        <v>338944.82</v>
      </c>
    </row>
    <row r="771" spans="1:10" ht="15.95" customHeight="1" x14ac:dyDescent="0.2">
      <c r="A771" s="27" t="s">
        <v>1187</v>
      </c>
      <c r="B771" s="480" t="s">
        <v>1188</v>
      </c>
      <c r="C771" s="476"/>
      <c r="D771" s="476"/>
      <c r="E771" s="23">
        <v>0</v>
      </c>
      <c r="F771" s="23">
        <v>155988.76</v>
      </c>
      <c r="H771" s="23">
        <v>6160.28</v>
      </c>
      <c r="J771" s="23">
        <v>149828.48000000001</v>
      </c>
    </row>
    <row r="772" spans="1:10" ht="15.95" customHeight="1" x14ac:dyDescent="0.2">
      <c r="A772" s="27" t="s">
        <v>1189</v>
      </c>
      <c r="B772" s="480" t="s">
        <v>1190</v>
      </c>
      <c r="C772" s="476"/>
      <c r="D772" s="476"/>
      <c r="E772" s="23">
        <v>0</v>
      </c>
      <c r="F772" s="23">
        <v>5205.04</v>
      </c>
      <c r="H772" s="23">
        <v>0</v>
      </c>
      <c r="J772" s="23">
        <v>5205.04</v>
      </c>
    </row>
    <row r="773" spans="1:10" ht="15.95" customHeight="1" x14ac:dyDescent="0.2">
      <c r="A773" s="27" t="s">
        <v>1191</v>
      </c>
      <c r="B773" s="480" t="s">
        <v>1192</v>
      </c>
      <c r="C773" s="476"/>
      <c r="D773" s="476"/>
      <c r="E773" s="23">
        <v>0</v>
      </c>
      <c r="F773" s="23">
        <v>6570.62</v>
      </c>
      <c r="H773" s="23">
        <v>0</v>
      </c>
      <c r="J773" s="23">
        <v>6570.62</v>
      </c>
    </row>
    <row r="774" spans="1:10" ht="15.95" customHeight="1" x14ac:dyDescent="0.2">
      <c r="A774" s="27" t="s">
        <v>1193</v>
      </c>
      <c r="B774" s="480" t="s">
        <v>1194</v>
      </c>
      <c r="C774" s="476"/>
      <c r="D774" s="476"/>
      <c r="E774" s="23">
        <v>0</v>
      </c>
      <c r="F774" s="23">
        <v>66475.5</v>
      </c>
      <c r="H774" s="23">
        <v>15.01</v>
      </c>
      <c r="J774" s="23">
        <v>66460.490000000005</v>
      </c>
    </row>
    <row r="775" spans="1:10" ht="15.95" customHeight="1" x14ac:dyDescent="0.2">
      <c r="A775" s="27" t="s">
        <v>1195</v>
      </c>
      <c r="B775" s="480" t="s">
        <v>1196</v>
      </c>
      <c r="C775" s="476"/>
      <c r="D775" s="476"/>
      <c r="E775" s="23">
        <v>0</v>
      </c>
      <c r="F775" s="23">
        <v>9966.4599999999991</v>
      </c>
      <c r="H775" s="23">
        <v>3611.37</v>
      </c>
      <c r="J775" s="23">
        <v>6355.09</v>
      </c>
    </row>
    <row r="776" spans="1:10" ht="15.95" customHeight="1" x14ac:dyDescent="0.2">
      <c r="A776" s="27" t="s">
        <v>1197</v>
      </c>
      <c r="B776" s="480" t="s">
        <v>1198</v>
      </c>
      <c r="C776" s="476"/>
      <c r="D776" s="476"/>
      <c r="E776" s="23">
        <v>0</v>
      </c>
      <c r="F776" s="23">
        <v>255798.35</v>
      </c>
      <c r="H776" s="23">
        <v>9598.99</v>
      </c>
      <c r="J776" s="23">
        <v>246199.36</v>
      </c>
    </row>
    <row r="777" spans="1:10" ht="15.95" customHeight="1" x14ac:dyDescent="0.2">
      <c r="A777" s="27" t="s">
        <v>1199</v>
      </c>
      <c r="B777" s="480" t="s">
        <v>1200</v>
      </c>
      <c r="C777" s="476"/>
      <c r="D777" s="476"/>
      <c r="E777" s="23">
        <v>0</v>
      </c>
      <c r="F777" s="23">
        <v>137900.20000000001</v>
      </c>
      <c r="H777" s="23">
        <v>0</v>
      </c>
      <c r="J777" s="23">
        <v>137900.20000000001</v>
      </c>
    </row>
    <row r="778" spans="1:10" ht="15.95" customHeight="1" x14ac:dyDescent="0.2">
      <c r="A778" s="27">
        <v>4110102</v>
      </c>
      <c r="B778" s="480" t="s">
        <v>1553</v>
      </c>
      <c r="C778" s="476"/>
      <c r="D778" s="476"/>
      <c r="E778" s="23">
        <v>0</v>
      </c>
      <c r="F778" s="23">
        <v>12208</v>
      </c>
      <c r="H778" s="23">
        <v>0</v>
      </c>
      <c r="J778" s="23">
        <v>12208</v>
      </c>
    </row>
    <row r="779" spans="1:10" ht="27.95" customHeight="1" x14ac:dyDescent="0.2">
      <c r="A779" s="27" t="s">
        <v>1629</v>
      </c>
      <c r="B779" s="480" t="s">
        <v>1203</v>
      </c>
      <c r="C779" s="476"/>
      <c r="D779" s="476"/>
      <c r="E779" s="23">
        <v>0</v>
      </c>
      <c r="F779" s="23">
        <v>12118</v>
      </c>
      <c r="H779" s="23">
        <v>0</v>
      </c>
      <c r="J779" s="23">
        <v>12118</v>
      </c>
    </row>
    <row r="780" spans="1:10" ht="15.95" customHeight="1" x14ac:dyDescent="0.2">
      <c r="A780" s="484" t="s">
        <v>1446</v>
      </c>
      <c r="B780" s="476"/>
      <c r="C780" s="476"/>
      <c r="D780" s="96" t="s">
        <v>1742</v>
      </c>
      <c r="J780" s="97" t="s">
        <v>1743</v>
      </c>
    </row>
    <row r="781" spans="1:10" ht="20.100000000000001" customHeight="1" x14ac:dyDescent="0.2">
      <c r="A781" s="93" t="s">
        <v>1424</v>
      </c>
      <c r="J781" s="94" t="s">
        <v>1756</v>
      </c>
    </row>
    <row r="782" spans="1:10" ht="15.95" customHeight="1" x14ac:dyDescent="0.2">
      <c r="A782" s="27" t="s">
        <v>1737</v>
      </c>
      <c r="C782" s="27" t="s">
        <v>0</v>
      </c>
      <c r="J782" s="23" t="s">
        <v>1738</v>
      </c>
    </row>
    <row r="783" spans="1:10" ht="14.1" customHeight="1" x14ac:dyDescent="0.2">
      <c r="A783" s="95" t="s">
        <v>1739</v>
      </c>
      <c r="J783" s="23" t="s">
        <v>1740</v>
      </c>
    </row>
    <row r="784" spans="1:10" ht="15" customHeight="1" x14ac:dyDescent="0.2">
      <c r="A784" s="95" t="s">
        <v>1741</v>
      </c>
    </row>
    <row r="785" spans="1:10" ht="23.1" customHeight="1" x14ac:dyDescent="0.2">
      <c r="A785" s="20" t="s">
        <v>55</v>
      </c>
      <c r="B785" s="20" t="s">
        <v>56</v>
      </c>
      <c r="E785" s="21" t="s">
        <v>57</v>
      </c>
      <c r="F785" s="21" t="s">
        <v>58</v>
      </c>
      <c r="H785" s="21" t="s">
        <v>59</v>
      </c>
      <c r="J785" s="21" t="s">
        <v>60</v>
      </c>
    </row>
    <row r="786" spans="1:10" ht="15.95" customHeight="1" x14ac:dyDescent="0.2">
      <c r="A786" s="27" t="s">
        <v>1554</v>
      </c>
      <c r="B786" s="480" t="s">
        <v>1300</v>
      </c>
      <c r="C786" s="476"/>
      <c r="D786" s="476"/>
      <c r="E786" s="23">
        <v>0</v>
      </c>
      <c r="F786" s="23">
        <v>90</v>
      </c>
      <c r="H786" s="23">
        <v>0</v>
      </c>
      <c r="J786" s="23">
        <v>90</v>
      </c>
    </row>
    <row r="787" spans="1:10" ht="15.95" customHeight="1" x14ac:dyDescent="0.2">
      <c r="A787" s="27">
        <v>4110103</v>
      </c>
      <c r="B787" s="480" t="s">
        <v>1201</v>
      </c>
      <c r="C787" s="476"/>
      <c r="D787" s="476"/>
      <c r="E787" s="23">
        <v>0</v>
      </c>
      <c r="F787" s="23">
        <v>5037084.8600000003</v>
      </c>
      <c r="H787" s="23">
        <v>761272.08</v>
      </c>
      <c r="J787" s="23">
        <v>4275812.78</v>
      </c>
    </row>
    <row r="788" spans="1:10" ht="15.95" customHeight="1" x14ac:dyDescent="0.2">
      <c r="A788" s="27" t="s">
        <v>1202</v>
      </c>
      <c r="B788" s="480" t="s">
        <v>1203</v>
      </c>
      <c r="C788" s="476"/>
      <c r="D788" s="476"/>
      <c r="E788" s="23">
        <v>0</v>
      </c>
      <c r="F788" s="23">
        <v>8745</v>
      </c>
      <c r="H788" s="23">
        <v>0</v>
      </c>
      <c r="J788" s="23">
        <v>8745</v>
      </c>
    </row>
    <row r="789" spans="1:10" ht="15.95" customHeight="1" x14ac:dyDescent="0.2">
      <c r="A789" s="27" t="s">
        <v>1204</v>
      </c>
      <c r="B789" s="480" t="s">
        <v>1205</v>
      </c>
      <c r="C789" s="476"/>
      <c r="D789" s="476"/>
      <c r="E789" s="23">
        <v>0</v>
      </c>
      <c r="F789" s="23">
        <v>133159.82</v>
      </c>
      <c r="H789" s="23">
        <v>0</v>
      </c>
      <c r="J789" s="23">
        <v>133159.82</v>
      </c>
    </row>
    <row r="790" spans="1:10" ht="15.95" customHeight="1" x14ac:dyDescent="0.2">
      <c r="A790" s="27" t="s">
        <v>1206</v>
      </c>
      <c r="B790" s="480" t="s">
        <v>1207</v>
      </c>
      <c r="C790" s="476"/>
      <c r="D790" s="476"/>
      <c r="E790" s="23">
        <v>0</v>
      </c>
      <c r="F790" s="23">
        <v>650164.67000000004</v>
      </c>
      <c r="H790" s="23">
        <v>0</v>
      </c>
      <c r="J790" s="23">
        <v>650164.67000000004</v>
      </c>
    </row>
    <row r="791" spans="1:10" ht="15.95" customHeight="1" x14ac:dyDescent="0.2">
      <c r="A791" s="27" t="s">
        <v>1555</v>
      </c>
      <c r="B791" s="480" t="s">
        <v>1556</v>
      </c>
      <c r="C791" s="476"/>
      <c r="D791" s="476"/>
      <c r="E791" s="23">
        <v>0</v>
      </c>
      <c r="F791" s="23">
        <v>441.79</v>
      </c>
      <c r="H791" s="23">
        <v>0</v>
      </c>
      <c r="J791" s="23">
        <v>441.79</v>
      </c>
    </row>
    <row r="792" spans="1:10" ht="15.95" customHeight="1" x14ac:dyDescent="0.2">
      <c r="A792" s="27" t="s">
        <v>1208</v>
      </c>
      <c r="B792" s="480" t="s">
        <v>1209</v>
      </c>
      <c r="C792" s="476"/>
      <c r="D792" s="476"/>
      <c r="E792" s="23">
        <v>0</v>
      </c>
      <c r="F792" s="23">
        <v>1335986.6200000001</v>
      </c>
      <c r="H792" s="23">
        <v>9500</v>
      </c>
      <c r="J792" s="23">
        <v>1326486.6200000001</v>
      </c>
    </row>
    <row r="793" spans="1:10" ht="15.95" customHeight="1" x14ac:dyDescent="0.2">
      <c r="A793" s="27" t="s">
        <v>1557</v>
      </c>
      <c r="B793" s="480" t="s">
        <v>1306</v>
      </c>
      <c r="C793" s="476"/>
      <c r="D793" s="476"/>
      <c r="E793" s="23">
        <v>0</v>
      </c>
      <c r="F793" s="23">
        <v>743834.87</v>
      </c>
      <c r="H793" s="23">
        <v>743834.87</v>
      </c>
      <c r="J793" s="23">
        <v>0</v>
      </c>
    </row>
    <row r="794" spans="1:10" ht="15.95" customHeight="1" x14ac:dyDescent="0.2">
      <c r="A794" s="27" t="s">
        <v>1558</v>
      </c>
      <c r="B794" s="480" t="s">
        <v>1559</v>
      </c>
      <c r="C794" s="476"/>
      <c r="D794" s="476"/>
      <c r="E794" s="23">
        <v>0</v>
      </c>
      <c r="F794" s="23">
        <v>89400</v>
      </c>
      <c r="H794" s="23">
        <v>0</v>
      </c>
      <c r="J794" s="23">
        <v>89400</v>
      </c>
    </row>
    <row r="795" spans="1:10" ht="15.95" customHeight="1" x14ac:dyDescent="0.2">
      <c r="A795" s="27" t="s">
        <v>1214</v>
      </c>
      <c r="B795" s="480" t="s">
        <v>1215</v>
      </c>
      <c r="C795" s="476"/>
      <c r="D795" s="476"/>
      <c r="E795" s="23">
        <v>0</v>
      </c>
      <c r="F795" s="23">
        <v>36562.11</v>
      </c>
      <c r="H795" s="23">
        <v>7937.21</v>
      </c>
      <c r="J795" s="23">
        <v>28624.9</v>
      </c>
    </row>
    <row r="796" spans="1:10" ht="15.95" customHeight="1" x14ac:dyDescent="0.2">
      <c r="A796" s="27" t="s">
        <v>1216</v>
      </c>
      <c r="B796" s="480" t="s">
        <v>1217</v>
      </c>
      <c r="C796" s="476"/>
      <c r="D796" s="476"/>
      <c r="E796" s="23">
        <v>0</v>
      </c>
      <c r="F796" s="23">
        <v>448500</v>
      </c>
      <c r="H796" s="23">
        <v>0</v>
      </c>
      <c r="J796" s="23">
        <v>448500</v>
      </c>
    </row>
    <row r="797" spans="1:10" ht="15.95" customHeight="1" x14ac:dyDescent="0.2">
      <c r="A797" s="27" t="s">
        <v>1218</v>
      </c>
      <c r="B797" s="480" t="s">
        <v>1219</v>
      </c>
      <c r="C797" s="476"/>
      <c r="D797" s="476"/>
      <c r="E797" s="23">
        <v>0</v>
      </c>
      <c r="F797" s="23">
        <v>1214941.98</v>
      </c>
      <c r="H797" s="23">
        <v>0</v>
      </c>
      <c r="J797" s="23">
        <v>1214941.98</v>
      </c>
    </row>
    <row r="798" spans="1:10" ht="15.95" customHeight="1" x14ac:dyDescent="0.2">
      <c r="A798" s="27" t="s">
        <v>1220</v>
      </c>
      <c r="B798" s="480" t="s">
        <v>1221</v>
      </c>
      <c r="C798" s="476"/>
      <c r="D798" s="476"/>
      <c r="E798" s="23">
        <v>0</v>
      </c>
      <c r="F798" s="23">
        <v>375348</v>
      </c>
      <c r="H798" s="23">
        <v>0</v>
      </c>
      <c r="J798" s="23">
        <v>375348</v>
      </c>
    </row>
    <row r="799" spans="1:10" ht="15.95" customHeight="1" x14ac:dyDescent="0.2">
      <c r="A799" s="27">
        <v>4110104</v>
      </c>
      <c r="B799" s="480" t="s">
        <v>1222</v>
      </c>
      <c r="C799" s="476"/>
      <c r="D799" s="476"/>
      <c r="E799" s="23">
        <v>0</v>
      </c>
      <c r="F799" s="23">
        <v>17139.21</v>
      </c>
      <c r="H799" s="23">
        <v>0</v>
      </c>
      <c r="J799" s="23">
        <v>17139.21</v>
      </c>
    </row>
    <row r="800" spans="1:10" ht="15.95" customHeight="1" x14ac:dyDescent="0.2">
      <c r="A800" s="27" t="s">
        <v>1560</v>
      </c>
      <c r="B800" s="480" t="s">
        <v>188</v>
      </c>
      <c r="C800" s="476"/>
      <c r="D800" s="476"/>
      <c r="E800" s="23">
        <v>0</v>
      </c>
      <c r="F800" s="23">
        <v>636.54</v>
      </c>
      <c r="H800" s="23">
        <v>0</v>
      </c>
      <c r="J800" s="23">
        <v>636.54</v>
      </c>
    </row>
    <row r="801" spans="1:10" ht="15.95" customHeight="1" x14ac:dyDescent="0.2">
      <c r="A801" s="27" t="s">
        <v>1225</v>
      </c>
      <c r="B801" s="480" t="s">
        <v>182</v>
      </c>
      <c r="C801" s="476"/>
      <c r="D801" s="476"/>
      <c r="E801" s="23">
        <v>0</v>
      </c>
      <c r="F801" s="23">
        <v>2746.15</v>
      </c>
      <c r="H801" s="23">
        <v>0</v>
      </c>
      <c r="J801" s="23">
        <v>2746.15</v>
      </c>
    </row>
    <row r="802" spans="1:10" ht="15.95" customHeight="1" x14ac:dyDescent="0.2">
      <c r="A802" s="27" t="s">
        <v>1228</v>
      </c>
      <c r="B802" s="480" t="s">
        <v>194</v>
      </c>
      <c r="C802" s="476"/>
      <c r="D802" s="476"/>
      <c r="E802" s="23">
        <v>0</v>
      </c>
      <c r="F802" s="23">
        <v>9903.84</v>
      </c>
      <c r="H802" s="23">
        <v>0</v>
      </c>
      <c r="J802" s="23">
        <v>9903.84</v>
      </c>
    </row>
    <row r="803" spans="1:10" ht="15.95" customHeight="1" x14ac:dyDescent="0.2">
      <c r="A803" s="27" t="s">
        <v>1229</v>
      </c>
      <c r="B803" s="480" t="s">
        <v>1230</v>
      </c>
      <c r="C803" s="476"/>
      <c r="D803" s="476"/>
      <c r="E803" s="23">
        <v>0</v>
      </c>
      <c r="F803" s="23">
        <v>582</v>
      </c>
      <c r="H803" s="23">
        <v>0</v>
      </c>
      <c r="J803" s="23">
        <v>582</v>
      </c>
    </row>
    <row r="804" spans="1:10" ht="15.95" customHeight="1" x14ac:dyDescent="0.2">
      <c r="A804" s="27" t="s">
        <v>1233</v>
      </c>
      <c r="B804" s="480" t="s">
        <v>1234</v>
      </c>
      <c r="C804" s="476"/>
      <c r="D804" s="476"/>
      <c r="E804" s="23">
        <v>0</v>
      </c>
      <c r="F804" s="23">
        <v>2540.69</v>
      </c>
      <c r="H804" s="23">
        <v>0</v>
      </c>
      <c r="J804" s="23">
        <v>2540.69</v>
      </c>
    </row>
    <row r="805" spans="1:10" ht="15.95" customHeight="1" x14ac:dyDescent="0.2">
      <c r="A805" s="27" t="s">
        <v>1235</v>
      </c>
      <c r="B805" s="480" t="s">
        <v>1236</v>
      </c>
      <c r="C805" s="476"/>
      <c r="D805" s="476"/>
      <c r="E805" s="23">
        <v>0</v>
      </c>
      <c r="F805" s="23">
        <v>729.99</v>
      </c>
      <c r="H805" s="23">
        <v>0</v>
      </c>
      <c r="J805" s="23">
        <v>729.99</v>
      </c>
    </row>
    <row r="806" spans="1:10" ht="15.95" customHeight="1" x14ac:dyDescent="0.2">
      <c r="A806" s="27">
        <v>4110105</v>
      </c>
      <c r="B806" s="480" t="s">
        <v>1237</v>
      </c>
      <c r="C806" s="476"/>
      <c r="D806" s="476"/>
      <c r="E806" s="23">
        <v>0</v>
      </c>
      <c r="F806" s="23">
        <v>11088840.130000001</v>
      </c>
      <c r="H806" s="23">
        <v>478383.4</v>
      </c>
      <c r="J806" s="23">
        <v>10610456.73</v>
      </c>
    </row>
    <row r="807" spans="1:10" ht="15.95" customHeight="1" x14ac:dyDescent="0.2">
      <c r="A807" s="27" t="s">
        <v>1238</v>
      </c>
      <c r="B807" s="480" t="s">
        <v>1239</v>
      </c>
      <c r="C807" s="476"/>
      <c r="D807" s="476"/>
      <c r="E807" s="23">
        <v>0</v>
      </c>
      <c r="F807" s="23">
        <v>184751.07</v>
      </c>
      <c r="H807" s="23">
        <v>0</v>
      </c>
      <c r="J807" s="23">
        <v>184751.07</v>
      </c>
    </row>
    <row r="808" spans="1:10" ht="15.95" customHeight="1" x14ac:dyDescent="0.2">
      <c r="A808" s="27" t="s">
        <v>1240</v>
      </c>
      <c r="B808" s="480" t="s">
        <v>1241</v>
      </c>
      <c r="C808" s="476"/>
      <c r="D808" s="476"/>
      <c r="E808" s="23">
        <v>0</v>
      </c>
      <c r="F808" s="23">
        <v>2023707.45</v>
      </c>
      <c r="H808" s="23">
        <v>93144.7</v>
      </c>
      <c r="J808" s="23">
        <v>1930562.75</v>
      </c>
    </row>
    <row r="809" spans="1:10" ht="15.95" customHeight="1" x14ac:dyDescent="0.2">
      <c r="A809" s="27" t="s">
        <v>1242</v>
      </c>
      <c r="B809" s="480" t="s">
        <v>1243</v>
      </c>
      <c r="C809" s="476"/>
      <c r="D809" s="476"/>
      <c r="E809" s="23">
        <v>0</v>
      </c>
      <c r="F809" s="23">
        <v>126000</v>
      </c>
      <c r="H809" s="23">
        <v>0</v>
      </c>
      <c r="J809" s="23">
        <v>126000</v>
      </c>
    </row>
    <row r="810" spans="1:10" ht="15.95" customHeight="1" x14ac:dyDescent="0.2">
      <c r="A810" s="27" t="s">
        <v>1244</v>
      </c>
      <c r="B810" s="480" t="s">
        <v>1245</v>
      </c>
      <c r="C810" s="476"/>
      <c r="D810" s="476"/>
      <c r="E810" s="23">
        <v>0</v>
      </c>
      <c r="F810" s="23">
        <v>57000</v>
      </c>
      <c r="H810" s="23">
        <v>0</v>
      </c>
      <c r="J810" s="23">
        <v>57000</v>
      </c>
    </row>
    <row r="811" spans="1:10" ht="15.95" customHeight="1" x14ac:dyDescent="0.2">
      <c r="A811" s="27" t="s">
        <v>1561</v>
      </c>
      <c r="B811" s="480" t="s">
        <v>1562</v>
      </c>
      <c r="C811" s="476"/>
      <c r="D811" s="476"/>
      <c r="E811" s="23">
        <v>0</v>
      </c>
      <c r="F811" s="23">
        <v>2741051.98</v>
      </c>
      <c r="H811" s="23">
        <v>0</v>
      </c>
      <c r="J811" s="23">
        <v>2741051.98</v>
      </c>
    </row>
    <row r="812" spans="1:10" ht="15.95" customHeight="1" x14ac:dyDescent="0.2">
      <c r="A812" s="27" t="s">
        <v>1246</v>
      </c>
      <c r="B812" s="480" t="s">
        <v>1247</v>
      </c>
      <c r="C812" s="476"/>
      <c r="D812" s="476"/>
      <c r="E812" s="23">
        <v>0</v>
      </c>
      <c r="F812" s="23">
        <v>0</v>
      </c>
      <c r="H812" s="23">
        <v>385238.7</v>
      </c>
      <c r="J812" s="23">
        <v>-385238.7</v>
      </c>
    </row>
    <row r="813" spans="1:10" ht="15.95" customHeight="1" x14ac:dyDescent="0.2">
      <c r="A813" s="27" t="s">
        <v>1248</v>
      </c>
      <c r="B813" s="480" t="s">
        <v>1249</v>
      </c>
      <c r="C813" s="476"/>
      <c r="D813" s="476"/>
      <c r="E813" s="23">
        <v>0</v>
      </c>
      <c r="F813" s="23">
        <v>5956329.6299999999</v>
      </c>
      <c r="H813" s="23">
        <v>0</v>
      </c>
      <c r="J813" s="23">
        <v>5956329.6299999999</v>
      </c>
    </row>
    <row r="814" spans="1:10" ht="15.95" customHeight="1" x14ac:dyDescent="0.2">
      <c r="A814" s="27">
        <v>5</v>
      </c>
      <c r="B814" s="480" t="s">
        <v>1250</v>
      </c>
      <c r="C814" s="476"/>
      <c r="D814" s="476"/>
      <c r="E814" s="23">
        <v>0</v>
      </c>
      <c r="F814" s="23">
        <v>17537581.620000001</v>
      </c>
      <c r="H814" s="23">
        <v>796670.12</v>
      </c>
      <c r="J814" s="23">
        <v>16740911.5</v>
      </c>
    </row>
    <row r="815" spans="1:10" ht="15.95" customHeight="1" x14ac:dyDescent="0.2">
      <c r="A815" s="27">
        <v>51</v>
      </c>
      <c r="B815" s="480" t="s">
        <v>1250</v>
      </c>
      <c r="C815" s="476"/>
      <c r="D815" s="476"/>
      <c r="E815" s="23">
        <v>0</v>
      </c>
      <c r="F815" s="23">
        <v>15587996.18</v>
      </c>
      <c r="H815" s="23">
        <v>523060.66</v>
      </c>
      <c r="J815" s="23">
        <v>15064935.52</v>
      </c>
    </row>
    <row r="816" spans="1:10" ht="15.95" customHeight="1" x14ac:dyDescent="0.2">
      <c r="A816" s="27">
        <v>511</v>
      </c>
      <c r="B816" s="480" t="s">
        <v>1251</v>
      </c>
      <c r="C816" s="476"/>
      <c r="D816" s="476"/>
      <c r="E816" s="23">
        <v>0</v>
      </c>
      <c r="F816" s="23">
        <v>15587996.18</v>
      </c>
      <c r="H816" s="23">
        <v>523060.66</v>
      </c>
      <c r="J816" s="23">
        <v>15064935.52</v>
      </c>
    </row>
    <row r="817" spans="1:10" ht="15.95" customHeight="1" x14ac:dyDescent="0.2">
      <c r="A817" s="27">
        <v>51101</v>
      </c>
      <c r="B817" s="480" t="s">
        <v>1251</v>
      </c>
      <c r="C817" s="476"/>
      <c r="D817" s="476"/>
      <c r="E817" s="23">
        <v>0</v>
      </c>
      <c r="F817" s="23">
        <v>15587996.18</v>
      </c>
      <c r="H817" s="23">
        <v>523060.66</v>
      </c>
      <c r="J817" s="23">
        <v>15064935.52</v>
      </c>
    </row>
    <row r="818" spans="1:10" ht="15.95" customHeight="1" x14ac:dyDescent="0.2">
      <c r="A818" s="27">
        <v>5110101</v>
      </c>
      <c r="B818" s="480" t="s">
        <v>1252</v>
      </c>
      <c r="C818" s="476"/>
      <c r="D818" s="476"/>
      <c r="E818" s="23">
        <v>0</v>
      </c>
      <c r="F818" s="23">
        <v>7888499.1100000003</v>
      </c>
      <c r="H818" s="23">
        <v>504196.35</v>
      </c>
      <c r="J818" s="23">
        <v>7384302.7599999998</v>
      </c>
    </row>
    <row r="819" spans="1:10" ht="15.95" customHeight="1" x14ac:dyDescent="0.2">
      <c r="A819" s="27" t="s">
        <v>1253</v>
      </c>
      <c r="B819" s="480" t="s">
        <v>1164</v>
      </c>
      <c r="C819" s="476"/>
      <c r="D819" s="476"/>
      <c r="E819" s="23">
        <v>0</v>
      </c>
      <c r="F819" s="23">
        <v>2380150.9900000002</v>
      </c>
      <c r="H819" s="23">
        <v>48442.73</v>
      </c>
      <c r="J819" s="23">
        <v>2331708.2599999998</v>
      </c>
    </row>
    <row r="820" spans="1:10" ht="15.95" customHeight="1" x14ac:dyDescent="0.2">
      <c r="A820" s="27" t="s">
        <v>1254</v>
      </c>
      <c r="B820" s="480" t="s">
        <v>1166</v>
      </c>
      <c r="C820" s="476"/>
      <c r="D820" s="476"/>
      <c r="E820" s="23">
        <v>0</v>
      </c>
      <c r="F820" s="23">
        <v>812009.68</v>
      </c>
      <c r="H820" s="23">
        <v>665.03</v>
      </c>
      <c r="J820" s="23">
        <v>811344.65</v>
      </c>
    </row>
    <row r="821" spans="1:10" ht="15.95" customHeight="1" x14ac:dyDescent="0.2">
      <c r="A821" s="27" t="s">
        <v>1255</v>
      </c>
      <c r="B821" s="480" t="s">
        <v>1186</v>
      </c>
      <c r="C821" s="476"/>
      <c r="D821" s="476"/>
      <c r="E821" s="23">
        <v>0</v>
      </c>
      <c r="F821" s="23">
        <v>199617.49</v>
      </c>
      <c r="H821" s="23">
        <v>13530.33</v>
      </c>
      <c r="J821" s="23">
        <v>186087.16</v>
      </c>
    </row>
    <row r="822" spans="1:10" ht="15.95" customHeight="1" x14ac:dyDescent="0.2">
      <c r="A822" s="27" t="s">
        <v>1258</v>
      </c>
      <c r="B822" s="480" t="s">
        <v>1176</v>
      </c>
      <c r="C822" s="476"/>
      <c r="D822" s="476"/>
      <c r="E822" s="23">
        <v>0</v>
      </c>
      <c r="F822" s="23">
        <v>1330590.23</v>
      </c>
      <c r="H822" s="23">
        <v>52486.96</v>
      </c>
      <c r="J822" s="23">
        <v>1278103.27</v>
      </c>
    </row>
    <row r="823" spans="1:10" ht="15.95" customHeight="1" x14ac:dyDescent="0.2">
      <c r="A823" s="27" t="s">
        <v>1259</v>
      </c>
      <c r="B823" s="480" t="s">
        <v>1178</v>
      </c>
      <c r="C823" s="476"/>
      <c r="D823" s="476"/>
      <c r="E823" s="23">
        <v>0</v>
      </c>
      <c r="F823" s="23">
        <v>378634</v>
      </c>
      <c r="H823" s="23">
        <v>15689.48</v>
      </c>
      <c r="J823" s="23">
        <v>362944.52</v>
      </c>
    </row>
    <row r="824" spans="1:10" ht="15.95" customHeight="1" x14ac:dyDescent="0.2">
      <c r="A824" s="27" t="s">
        <v>1260</v>
      </c>
      <c r="B824" s="480" t="s">
        <v>1261</v>
      </c>
      <c r="C824" s="476"/>
      <c r="D824" s="476"/>
      <c r="E824" s="23">
        <v>0</v>
      </c>
      <c r="F824" s="23">
        <v>332528.25</v>
      </c>
      <c r="H824" s="23">
        <v>12773.4</v>
      </c>
      <c r="J824" s="23">
        <v>319754.84999999998</v>
      </c>
    </row>
    <row r="825" spans="1:10" ht="15.95" customHeight="1" x14ac:dyDescent="0.2">
      <c r="A825" s="27" t="s">
        <v>1262</v>
      </c>
      <c r="B825" s="480" t="s">
        <v>1263</v>
      </c>
      <c r="C825" s="476"/>
      <c r="D825" s="476"/>
      <c r="E825" s="23">
        <v>0</v>
      </c>
      <c r="F825" s="23">
        <v>534417.43000000005</v>
      </c>
      <c r="H825" s="23">
        <v>231316.58</v>
      </c>
      <c r="J825" s="23">
        <v>303100.84999999998</v>
      </c>
    </row>
    <row r="826" spans="1:10" ht="15.95" customHeight="1" x14ac:dyDescent="0.2">
      <c r="A826" s="27" t="s">
        <v>1264</v>
      </c>
      <c r="B826" s="480" t="s">
        <v>1184</v>
      </c>
      <c r="C826" s="476"/>
      <c r="D826" s="476"/>
      <c r="E826" s="23">
        <v>0</v>
      </c>
      <c r="F826" s="23">
        <v>57</v>
      </c>
      <c r="H826" s="23">
        <v>57</v>
      </c>
      <c r="J826" s="23">
        <v>0</v>
      </c>
    </row>
    <row r="827" spans="1:10" ht="15.95" customHeight="1" x14ac:dyDescent="0.2">
      <c r="A827" s="27" t="s">
        <v>1265</v>
      </c>
      <c r="B827" s="480" t="s">
        <v>1266</v>
      </c>
      <c r="C827" s="476"/>
      <c r="D827" s="476"/>
      <c r="E827" s="23">
        <v>0</v>
      </c>
      <c r="F827" s="23">
        <v>635899.75</v>
      </c>
      <c r="H827" s="23">
        <v>91454.97</v>
      </c>
      <c r="J827" s="23">
        <v>544444.78</v>
      </c>
    </row>
    <row r="828" spans="1:10" ht="15.95" customHeight="1" x14ac:dyDescent="0.2">
      <c r="A828" s="27" t="s">
        <v>1267</v>
      </c>
      <c r="B828" s="480" t="s">
        <v>1198</v>
      </c>
      <c r="C828" s="476"/>
      <c r="D828" s="476"/>
      <c r="E828" s="23">
        <v>0</v>
      </c>
      <c r="F828" s="23">
        <v>384278.12</v>
      </c>
      <c r="H828" s="23">
        <v>15264.01</v>
      </c>
      <c r="J828" s="23">
        <v>369014.11</v>
      </c>
    </row>
    <row r="829" spans="1:10" ht="15.95" customHeight="1" x14ac:dyDescent="0.2">
      <c r="A829" s="27" t="s">
        <v>1268</v>
      </c>
      <c r="B829" s="480" t="s">
        <v>1269</v>
      </c>
      <c r="C829" s="476"/>
      <c r="D829" s="476"/>
      <c r="E829" s="23">
        <v>0</v>
      </c>
      <c r="F829" s="23">
        <v>142782.79</v>
      </c>
      <c r="H829" s="23">
        <v>0</v>
      </c>
      <c r="J829" s="23">
        <v>142782.79</v>
      </c>
    </row>
    <row r="830" spans="1:10" ht="15.95" customHeight="1" x14ac:dyDescent="0.2">
      <c r="A830" s="27" t="s">
        <v>1270</v>
      </c>
      <c r="B830" s="480" t="s">
        <v>658</v>
      </c>
      <c r="C830" s="476"/>
      <c r="D830" s="476"/>
      <c r="E830" s="23">
        <v>0</v>
      </c>
      <c r="F830" s="23">
        <v>4340.82</v>
      </c>
      <c r="H830" s="23">
        <v>0</v>
      </c>
      <c r="J830" s="23">
        <v>4340.82</v>
      </c>
    </row>
    <row r="831" spans="1:10" ht="15.95" customHeight="1" x14ac:dyDescent="0.2">
      <c r="A831" s="27" t="s">
        <v>1271</v>
      </c>
      <c r="B831" s="480" t="s">
        <v>1272</v>
      </c>
      <c r="C831" s="476"/>
      <c r="D831" s="476"/>
      <c r="E831" s="23">
        <v>0</v>
      </c>
      <c r="F831" s="23">
        <v>4520.8900000000003</v>
      </c>
      <c r="H831" s="23">
        <v>0</v>
      </c>
      <c r="J831" s="23">
        <v>4520.8900000000003</v>
      </c>
    </row>
    <row r="832" spans="1:10" ht="15.95" customHeight="1" x14ac:dyDescent="0.2">
      <c r="A832" s="27" t="s">
        <v>1273</v>
      </c>
      <c r="B832" s="480" t="s">
        <v>1274</v>
      </c>
      <c r="C832" s="476"/>
      <c r="D832" s="476"/>
      <c r="E832" s="23">
        <v>0</v>
      </c>
      <c r="F832" s="23">
        <v>44304.72</v>
      </c>
      <c r="H832" s="23">
        <v>11098.87</v>
      </c>
      <c r="J832" s="23">
        <v>33205.85</v>
      </c>
    </row>
    <row r="833" spans="1:10" ht="15.95" customHeight="1" x14ac:dyDescent="0.2">
      <c r="A833" s="27" t="s">
        <v>1275</v>
      </c>
      <c r="B833" s="480" t="s">
        <v>1188</v>
      </c>
      <c r="C833" s="476"/>
      <c r="D833" s="476"/>
      <c r="E833" s="23">
        <v>0</v>
      </c>
      <c r="F833" s="23">
        <v>87979.53</v>
      </c>
      <c r="H833" s="23">
        <v>0</v>
      </c>
      <c r="J833" s="23">
        <v>87979.53</v>
      </c>
    </row>
    <row r="834" spans="1:10" ht="15.95" customHeight="1" x14ac:dyDescent="0.2">
      <c r="A834" s="27" t="s">
        <v>1276</v>
      </c>
      <c r="B834" s="480" t="s">
        <v>1180</v>
      </c>
      <c r="C834" s="476"/>
      <c r="D834" s="476"/>
      <c r="E834" s="23">
        <v>0</v>
      </c>
      <c r="F834" s="23">
        <v>22865.19</v>
      </c>
      <c r="H834" s="23">
        <v>7223.92</v>
      </c>
      <c r="J834" s="23">
        <v>15641.27</v>
      </c>
    </row>
    <row r="835" spans="1:10" ht="15.95" customHeight="1" x14ac:dyDescent="0.2">
      <c r="A835" s="27" t="s">
        <v>1277</v>
      </c>
      <c r="B835" s="480" t="s">
        <v>1190</v>
      </c>
      <c r="C835" s="476"/>
      <c r="D835" s="476"/>
      <c r="E835" s="23">
        <v>0</v>
      </c>
      <c r="F835" s="23">
        <v>122578.9</v>
      </c>
      <c r="H835" s="23">
        <v>0</v>
      </c>
      <c r="J835" s="23">
        <v>122578.9</v>
      </c>
    </row>
    <row r="836" spans="1:10" ht="15.95" customHeight="1" x14ac:dyDescent="0.2">
      <c r="A836" s="27" t="s">
        <v>1278</v>
      </c>
      <c r="B836" s="480" t="s">
        <v>1279</v>
      </c>
      <c r="C836" s="476"/>
      <c r="D836" s="476"/>
      <c r="E836" s="23">
        <v>0</v>
      </c>
      <c r="F836" s="23">
        <v>6351.25</v>
      </c>
      <c r="H836" s="23">
        <v>1477</v>
      </c>
      <c r="J836" s="23">
        <v>4874.25</v>
      </c>
    </row>
    <row r="837" spans="1:10" ht="15.95" customHeight="1" x14ac:dyDescent="0.2">
      <c r="A837" s="27" t="s">
        <v>1280</v>
      </c>
      <c r="B837" s="480" t="s">
        <v>1192</v>
      </c>
      <c r="C837" s="476"/>
      <c r="D837" s="476"/>
      <c r="E837" s="23">
        <v>0</v>
      </c>
      <c r="F837" s="23">
        <v>25571.83</v>
      </c>
      <c r="H837" s="23">
        <v>0</v>
      </c>
      <c r="J837" s="23">
        <v>25571.83</v>
      </c>
    </row>
    <row r="838" spans="1:10" ht="15.95" customHeight="1" x14ac:dyDescent="0.2">
      <c r="A838" s="27" t="s">
        <v>1281</v>
      </c>
      <c r="B838" s="480" t="s">
        <v>1200</v>
      </c>
      <c r="C838" s="476"/>
      <c r="D838" s="476"/>
      <c r="E838" s="23">
        <v>0</v>
      </c>
      <c r="F838" s="23">
        <v>419387.75</v>
      </c>
      <c r="H838" s="23">
        <v>2716.07</v>
      </c>
      <c r="J838" s="23">
        <v>416671.68</v>
      </c>
    </row>
    <row r="839" spans="1:10" ht="27.95" customHeight="1" x14ac:dyDescent="0.2">
      <c r="A839" s="27" t="s">
        <v>1563</v>
      </c>
      <c r="B839" s="480" t="s">
        <v>1564</v>
      </c>
      <c r="C839" s="476"/>
      <c r="D839" s="476"/>
      <c r="E839" s="23">
        <v>0</v>
      </c>
      <c r="F839" s="23">
        <v>19632.5</v>
      </c>
      <c r="H839" s="23">
        <v>0</v>
      </c>
      <c r="J839" s="23">
        <v>19632.5</v>
      </c>
    </row>
    <row r="840" spans="1:10" ht="15.95" customHeight="1" x14ac:dyDescent="0.2">
      <c r="A840" s="484" t="s">
        <v>1446</v>
      </c>
      <c r="B840" s="476"/>
      <c r="C840" s="476"/>
      <c r="D840" s="96" t="s">
        <v>1742</v>
      </c>
      <c r="J840" s="97" t="s">
        <v>1743</v>
      </c>
    </row>
    <row r="841" spans="1:10" ht="20.100000000000001" customHeight="1" x14ac:dyDescent="0.2">
      <c r="A841" s="93" t="s">
        <v>1424</v>
      </c>
      <c r="J841" s="94" t="s">
        <v>1757</v>
      </c>
    </row>
    <row r="842" spans="1:10" ht="15.95" customHeight="1" x14ac:dyDescent="0.2">
      <c r="A842" s="27" t="s">
        <v>1737</v>
      </c>
      <c r="C842" s="27" t="s">
        <v>0</v>
      </c>
      <c r="J842" s="23" t="s">
        <v>1738</v>
      </c>
    </row>
    <row r="843" spans="1:10" ht="14.1" customHeight="1" x14ac:dyDescent="0.2">
      <c r="A843" s="95" t="s">
        <v>1739</v>
      </c>
      <c r="J843" s="23" t="s">
        <v>1740</v>
      </c>
    </row>
    <row r="844" spans="1:10" ht="15" customHeight="1" x14ac:dyDescent="0.2">
      <c r="A844" s="95" t="s">
        <v>1741</v>
      </c>
    </row>
    <row r="845" spans="1:10" ht="23.1" customHeight="1" x14ac:dyDescent="0.2">
      <c r="A845" s="20" t="s">
        <v>55</v>
      </c>
      <c r="B845" s="20" t="s">
        <v>56</v>
      </c>
      <c r="E845" s="21" t="s">
        <v>57</v>
      </c>
      <c r="F845" s="21" t="s">
        <v>58</v>
      </c>
      <c r="H845" s="21" t="s">
        <v>59</v>
      </c>
      <c r="J845" s="21" t="s">
        <v>60</v>
      </c>
    </row>
    <row r="846" spans="1:10" ht="15.95" customHeight="1" x14ac:dyDescent="0.2">
      <c r="A846" s="27">
        <v>5110102</v>
      </c>
      <c r="B846" s="480" t="s">
        <v>1286</v>
      </c>
      <c r="C846" s="476"/>
      <c r="D846" s="476"/>
      <c r="E846" s="23">
        <v>0</v>
      </c>
      <c r="F846" s="23">
        <v>218800.8</v>
      </c>
      <c r="H846" s="23">
        <v>7683.51</v>
      </c>
      <c r="J846" s="23">
        <v>211117.29</v>
      </c>
    </row>
    <row r="847" spans="1:10" ht="15.95" customHeight="1" x14ac:dyDescent="0.2">
      <c r="A847" s="27" t="s">
        <v>1287</v>
      </c>
      <c r="B847" s="480" t="s">
        <v>1288</v>
      </c>
      <c r="C847" s="476"/>
      <c r="D847" s="476"/>
      <c r="E847" s="23">
        <v>0</v>
      </c>
      <c r="F847" s="23">
        <v>68548.95</v>
      </c>
      <c r="H847" s="23">
        <v>7683.51</v>
      </c>
      <c r="J847" s="23">
        <v>60865.440000000002</v>
      </c>
    </row>
    <row r="848" spans="1:10" ht="15.95" customHeight="1" x14ac:dyDescent="0.2">
      <c r="A848" s="27" t="s">
        <v>1289</v>
      </c>
      <c r="B848" s="480" t="s">
        <v>1290</v>
      </c>
      <c r="C848" s="476"/>
      <c r="D848" s="476"/>
      <c r="E848" s="23">
        <v>0</v>
      </c>
      <c r="F848" s="23">
        <v>91574.36</v>
      </c>
      <c r="H848" s="23">
        <v>0</v>
      </c>
      <c r="J848" s="23">
        <v>91574.36</v>
      </c>
    </row>
    <row r="849" spans="1:10" ht="15.95" customHeight="1" x14ac:dyDescent="0.2">
      <c r="A849" s="27" t="s">
        <v>1630</v>
      </c>
      <c r="B849" s="480" t="s">
        <v>1567</v>
      </c>
      <c r="C849" s="476"/>
      <c r="D849" s="476"/>
      <c r="E849" s="23">
        <v>0</v>
      </c>
      <c r="F849" s="23">
        <v>59.9</v>
      </c>
      <c r="H849" s="23">
        <v>0</v>
      </c>
      <c r="J849" s="23">
        <v>59.9</v>
      </c>
    </row>
    <row r="850" spans="1:10" ht="15.95" customHeight="1" x14ac:dyDescent="0.2">
      <c r="A850" s="27" t="s">
        <v>1631</v>
      </c>
      <c r="B850" s="480" t="s">
        <v>1569</v>
      </c>
      <c r="C850" s="476"/>
      <c r="D850" s="476"/>
      <c r="E850" s="23">
        <v>0</v>
      </c>
      <c r="F850" s="23">
        <v>399</v>
      </c>
      <c r="H850" s="23">
        <v>0</v>
      </c>
      <c r="J850" s="23">
        <v>399</v>
      </c>
    </row>
    <row r="851" spans="1:10" ht="15.95" customHeight="1" x14ac:dyDescent="0.2">
      <c r="A851" s="27" t="s">
        <v>1565</v>
      </c>
      <c r="B851" s="480" t="s">
        <v>1300</v>
      </c>
      <c r="C851" s="476"/>
      <c r="D851" s="476"/>
      <c r="E851" s="23">
        <v>0</v>
      </c>
      <c r="F851" s="23">
        <v>70</v>
      </c>
      <c r="H851" s="23">
        <v>0</v>
      </c>
      <c r="J851" s="23">
        <v>70</v>
      </c>
    </row>
    <row r="852" spans="1:10" ht="15.95" customHeight="1" x14ac:dyDescent="0.2">
      <c r="A852" s="27" t="s">
        <v>1291</v>
      </c>
      <c r="B852" s="480" t="s">
        <v>1292</v>
      </c>
      <c r="C852" s="476"/>
      <c r="D852" s="476"/>
      <c r="E852" s="23">
        <v>0</v>
      </c>
      <c r="F852" s="23">
        <v>23050.53</v>
      </c>
      <c r="H852" s="23">
        <v>0</v>
      </c>
      <c r="J852" s="23">
        <v>23050.53</v>
      </c>
    </row>
    <row r="853" spans="1:10" ht="15.95" customHeight="1" x14ac:dyDescent="0.2">
      <c r="A853" s="27" t="s">
        <v>1293</v>
      </c>
      <c r="B853" s="480" t="s">
        <v>1294</v>
      </c>
      <c r="C853" s="476"/>
      <c r="D853" s="476"/>
      <c r="E853" s="23">
        <v>0</v>
      </c>
      <c r="F853" s="23">
        <v>35098.06</v>
      </c>
      <c r="H853" s="23">
        <v>0</v>
      </c>
      <c r="J853" s="23">
        <v>35098.06</v>
      </c>
    </row>
    <row r="854" spans="1:10" ht="15.95" customHeight="1" x14ac:dyDescent="0.2">
      <c r="A854" s="27">
        <v>5110103</v>
      </c>
      <c r="B854" s="480" t="s">
        <v>1295</v>
      </c>
      <c r="C854" s="476"/>
      <c r="D854" s="476"/>
      <c r="E854" s="23">
        <v>0</v>
      </c>
      <c r="F854" s="23">
        <v>4770021.1100000003</v>
      </c>
      <c r="H854" s="23">
        <v>1556.47</v>
      </c>
      <c r="J854" s="23">
        <v>4768464.6399999997</v>
      </c>
    </row>
    <row r="855" spans="1:10" ht="15.95" customHeight="1" x14ac:dyDescent="0.2">
      <c r="A855" s="27" t="s">
        <v>1632</v>
      </c>
      <c r="B855" s="480" t="s">
        <v>1633</v>
      </c>
      <c r="C855" s="476"/>
      <c r="D855" s="476"/>
      <c r="E855" s="23">
        <v>0</v>
      </c>
      <c r="F855" s="23">
        <v>36000</v>
      </c>
      <c r="H855" s="23">
        <v>0</v>
      </c>
      <c r="J855" s="23">
        <v>36000</v>
      </c>
    </row>
    <row r="856" spans="1:10" ht="15.95" customHeight="1" x14ac:dyDescent="0.2">
      <c r="A856" s="27" t="s">
        <v>1296</v>
      </c>
      <c r="B856" s="480" t="s">
        <v>1297</v>
      </c>
      <c r="C856" s="476"/>
      <c r="D856" s="476"/>
      <c r="E856" s="23">
        <v>0</v>
      </c>
      <c r="F856" s="23">
        <v>161657.98000000001</v>
      </c>
      <c r="H856" s="23">
        <v>0</v>
      </c>
      <c r="J856" s="23">
        <v>161657.98000000001</v>
      </c>
    </row>
    <row r="857" spans="1:10" ht="15.95" customHeight="1" x14ac:dyDescent="0.2">
      <c r="A857" s="27" t="s">
        <v>1298</v>
      </c>
      <c r="B857" s="480" t="s">
        <v>1203</v>
      </c>
      <c r="C857" s="476"/>
      <c r="D857" s="476"/>
      <c r="E857" s="23">
        <v>0</v>
      </c>
      <c r="F857" s="23">
        <v>833</v>
      </c>
      <c r="H857" s="23">
        <v>0</v>
      </c>
      <c r="J857" s="23">
        <v>833</v>
      </c>
    </row>
    <row r="858" spans="1:10" ht="15.95" customHeight="1" x14ac:dyDescent="0.2">
      <c r="A858" s="27" t="s">
        <v>1566</v>
      </c>
      <c r="B858" s="480" t="s">
        <v>1567</v>
      </c>
      <c r="C858" s="476"/>
      <c r="D858" s="476"/>
      <c r="E858" s="23">
        <v>0</v>
      </c>
      <c r="F858" s="23">
        <v>113203.86</v>
      </c>
      <c r="H858" s="23">
        <v>0</v>
      </c>
      <c r="J858" s="23">
        <v>113203.86</v>
      </c>
    </row>
    <row r="859" spans="1:10" ht="15.95" customHeight="1" x14ac:dyDescent="0.2">
      <c r="A859" s="27" t="s">
        <v>1568</v>
      </c>
      <c r="B859" s="480" t="s">
        <v>1569</v>
      </c>
      <c r="C859" s="476"/>
      <c r="D859" s="476"/>
      <c r="E859" s="23">
        <v>0</v>
      </c>
      <c r="F859" s="23">
        <v>1020</v>
      </c>
      <c r="H859" s="23">
        <v>0</v>
      </c>
      <c r="J859" s="23">
        <v>1020</v>
      </c>
    </row>
    <row r="860" spans="1:10" ht="15.95" customHeight="1" x14ac:dyDescent="0.2">
      <c r="A860" s="27" t="s">
        <v>1299</v>
      </c>
      <c r="B860" s="480" t="s">
        <v>1300</v>
      </c>
      <c r="C860" s="476"/>
      <c r="D860" s="476"/>
      <c r="E860" s="23">
        <v>0</v>
      </c>
      <c r="F860" s="23">
        <v>9893.58</v>
      </c>
      <c r="H860" s="23">
        <v>0</v>
      </c>
      <c r="J860" s="23">
        <v>9893.58</v>
      </c>
    </row>
    <row r="861" spans="1:10" ht="15.95" customHeight="1" x14ac:dyDescent="0.2">
      <c r="A861" s="27" t="s">
        <v>1570</v>
      </c>
      <c r="B861" s="480" t="s">
        <v>1571</v>
      </c>
      <c r="C861" s="476"/>
      <c r="D861" s="476"/>
      <c r="E861" s="23">
        <v>0</v>
      </c>
      <c r="F861" s="23">
        <v>15495.21</v>
      </c>
      <c r="H861" s="23">
        <v>0</v>
      </c>
      <c r="J861" s="23">
        <v>15495.21</v>
      </c>
    </row>
    <row r="862" spans="1:10" ht="15.95" customHeight="1" x14ac:dyDescent="0.2">
      <c r="A862" s="27" t="s">
        <v>1301</v>
      </c>
      <c r="B862" s="480" t="s">
        <v>1302</v>
      </c>
      <c r="C862" s="476"/>
      <c r="D862" s="476"/>
      <c r="E862" s="23">
        <v>0</v>
      </c>
      <c r="F862" s="23">
        <v>16976.52</v>
      </c>
      <c r="H862" s="23">
        <v>0</v>
      </c>
      <c r="J862" s="23">
        <v>16976.52</v>
      </c>
    </row>
    <row r="863" spans="1:10" ht="15.95" customHeight="1" x14ac:dyDescent="0.2">
      <c r="A863" s="27" t="s">
        <v>1303</v>
      </c>
      <c r="B863" s="480" t="s">
        <v>1304</v>
      </c>
      <c r="C863" s="476"/>
      <c r="D863" s="476"/>
      <c r="E863" s="23">
        <v>0</v>
      </c>
      <c r="F863" s="23">
        <v>1213530.51</v>
      </c>
      <c r="H863" s="23">
        <v>0</v>
      </c>
      <c r="J863" s="23">
        <v>1213530.51</v>
      </c>
    </row>
    <row r="864" spans="1:10" ht="15.95" customHeight="1" x14ac:dyDescent="0.2">
      <c r="A864" s="27" t="s">
        <v>1305</v>
      </c>
      <c r="B864" s="480" t="s">
        <v>1306</v>
      </c>
      <c r="C864" s="476"/>
      <c r="D864" s="476"/>
      <c r="E864" s="23">
        <v>0</v>
      </c>
      <c r="F864" s="23">
        <v>1598454.61</v>
      </c>
      <c r="H864" s="23">
        <v>0</v>
      </c>
      <c r="J864" s="23">
        <v>1598454.61</v>
      </c>
    </row>
    <row r="865" spans="1:10" ht="15.95" customHeight="1" x14ac:dyDescent="0.2">
      <c r="A865" s="27" t="s">
        <v>1307</v>
      </c>
      <c r="B865" s="480" t="s">
        <v>1308</v>
      </c>
      <c r="C865" s="476"/>
      <c r="D865" s="476"/>
      <c r="E865" s="23">
        <v>0</v>
      </c>
      <c r="F865" s="23">
        <v>12608</v>
      </c>
      <c r="H865" s="23">
        <v>0</v>
      </c>
      <c r="J865" s="23">
        <v>12608</v>
      </c>
    </row>
    <row r="866" spans="1:10" ht="15.95" customHeight="1" x14ac:dyDescent="0.2">
      <c r="A866" s="27" t="s">
        <v>1309</v>
      </c>
      <c r="B866" s="480" t="s">
        <v>1310</v>
      </c>
      <c r="C866" s="476"/>
      <c r="D866" s="476"/>
      <c r="E866" s="23">
        <v>0</v>
      </c>
      <c r="F866" s="23">
        <v>1465032.44</v>
      </c>
      <c r="H866" s="23">
        <v>1556.47</v>
      </c>
      <c r="J866" s="23">
        <v>1463475.97</v>
      </c>
    </row>
    <row r="867" spans="1:10" ht="15.95" customHeight="1" x14ac:dyDescent="0.2">
      <c r="A867" s="27" t="s">
        <v>1311</v>
      </c>
      <c r="B867" s="480" t="s">
        <v>1312</v>
      </c>
      <c r="C867" s="476"/>
      <c r="D867" s="476"/>
      <c r="E867" s="23">
        <v>0</v>
      </c>
      <c r="F867" s="23">
        <v>6500</v>
      </c>
      <c r="H867" s="23">
        <v>0</v>
      </c>
      <c r="J867" s="23">
        <v>6500</v>
      </c>
    </row>
    <row r="868" spans="1:10" ht="15.95" customHeight="1" x14ac:dyDescent="0.2">
      <c r="A868" s="27" t="s">
        <v>1313</v>
      </c>
      <c r="B868" s="480" t="s">
        <v>1314</v>
      </c>
      <c r="C868" s="476"/>
      <c r="D868" s="476"/>
      <c r="E868" s="23">
        <v>0</v>
      </c>
      <c r="F868" s="23">
        <v>33125</v>
      </c>
      <c r="H868" s="23">
        <v>0</v>
      </c>
      <c r="J868" s="23">
        <v>33125</v>
      </c>
    </row>
    <row r="869" spans="1:10" ht="15.95" customHeight="1" x14ac:dyDescent="0.2">
      <c r="A869" s="27" t="s">
        <v>1315</v>
      </c>
      <c r="B869" s="480" t="s">
        <v>1316</v>
      </c>
      <c r="C869" s="476"/>
      <c r="D869" s="476"/>
      <c r="E869" s="23">
        <v>0</v>
      </c>
      <c r="F869" s="23">
        <v>71540.399999999994</v>
      </c>
      <c r="H869" s="23">
        <v>0</v>
      </c>
      <c r="J869" s="23">
        <v>71540.399999999994</v>
      </c>
    </row>
    <row r="870" spans="1:10" ht="15.95" customHeight="1" x14ac:dyDescent="0.2">
      <c r="A870" s="27" t="s">
        <v>1317</v>
      </c>
      <c r="B870" s="480" t="s">
        <v>1318</v>
      </c>
      <c r="C870" s="476"/>
      <c r="D870" s="476"/>
      <c r="E870" s="23">
        <v>0</v>
      </c>
      <c r="F870" s="23">
        <v>1041</v>
      </c>
      <c r="H870" s="23">
        <v>0</v>
      </c>
      <c r="J870" s="23">
        <v>1041</v>
      </c>
    </row>
    <row r="871" spans="1:10" ht="15.95" customHeight="1" x14ac:dyDescent="0.2">
      <c r="A871" s="27" t="s">
        <v>1323</v>
      </c>
      <c r="B871" s="480" t="s">
        <v>1324</v>
      </c>
      <c r="C871" s="476"/>
      <c r="D871" s="476"/>
      <c r="E871" s="23">
        <v>0</v>
      </c>
      <c r="F871" s="23">
        <v>13109</v>
      </c>
      <c r="H871" s="23">
        <v>0</v>
      </c>
      <c r="J871" s="23">
        <v>13109</v>
      </c>
    </row>
    <row r="872" spans="1:10" ht="15.95" customHeight="1" x14ac:dyDescent="0.2">
      <c r="A872" s="27">
        <v>5110104</v>
      </c>
      <c r="B872" s="480" t="s">
        <v>1325</v>
      </c>
      <c r="C872" s="476"/>
      <c r="D872" s="476"/>
      <c r="E872" s="23">
        <v>0</v>
      </c>
      <c r="F872" s="23">
        <v>119447.35</v>
      </c>
      <c r="H872" s="23">
        <v>228.27</v>
      </c>
      <c r="J872" s="23">
        <v>119219.08</v>
      </c>
    </row>
    <row r="873" spans="1:10" ht="15.95" customHeight="1" x14ac:dyDescent="0.2">
      <c r="A873" s="27" t="s">
        <v>1326</v>
      </c>
      <c r="B873" s="480" t="s">
        <v>182</v>
      </c>
      <c r="C873" s="476"/>
      <c r="D873" s="476"/>
      <c r="E873" s="23">
        <v>0</v>
      </c>
      <c r="F873" s="23">
        <v>23699.95</v>
      </c>
      <c r="H873" s="23">
        <v>50.67</v>
      </c>
      <c r="J873" s="23">
        <v>23649.279999999999</v>
      </c>
    </row>
    <row r="874" spans="1:10" ht="15.95" customHeight="1" x14ac:dyDescent="0.2">
      <c r="A874" s="27" t="s">
        <v>1327</v>
      </c>
      <c r="B874" s="480" t="s">
        <v>1328</v>
      </c>
      <c r="C874" s="476"/>
      <c r="D874" s="476"/>
      <c r="E874" s="23">
        <v>0</v>
      </c>
      <c r="F874" s="23">
        <v>27644.9</v>
      </c>
      <c r="H874" s="23">
        <v>0</v>
      </c>
      <c r="J874" s="23">
        <v>27644.9</v>
      </c>
    </row>
    <row r="875" spans="1:10" ht="15.95" customHeight="1" x14ac:dyDescent="0.2">
      <c r="A875" s="27" t="s">
        <v>1329</v>
      </c>
      <c r="B875" s="480" t="s">
        <v>1330</v>
      </c>
      <c r="C875" s="476"/>
      <c r="D875" s="476"/>
      <c r="E875" s="23">
        <v>0</v>
      </c>
      <c r="F875" s="23">
        <v>8986.23</v>
      </c>
      <c r="H875" s="23">
        <v>0</v>
      </c>
      <c r="J875" s="23">
        <v>8986.23</v>
      </c>
    </row>
    <row r="876" spans="1:10" ht="15.95" customHeight="1" x14ac:dyDescent="0.2">
      <c r="A876" s="27" t="s">
        <v>1331</v>
      </c>
      <c r="B876" s="480" t="s">
        <v>1332</v>
      </c>
      <c r="C876" s="476"/>
      <c r="D876" s="476"/>
      <c r="E876" s="23">
        <v>0</v>
      </c>
      <c r="F876" s="23">
        <v>631.55999999999995</v>
      </c>
      <c r="H876" s="23">
        <v>0</v>
      </c>
      <c r="J876" s="23">
        <v>631.55999999999995</v>
      </c>
    </row>
    <row r="877" spans="1:10" ht="15.95" customHeight="1" x14ac:dyDescent="0.2">
      <c r="A877" s="27" t="s">
        <v>1333</v>
      </c>
      <c r="B877" s="480" t="s">
        <v>186</v>
      </c>
      <c r="C877" s="476"/>
      <c r="D877" s="476"/>
      <c r="E877" s="23">
        <v>0</v>
      </c>
      <c r="F877" s="23">
        <v>1994.75</v>
      </c>
      <c r="H877" s="23">
        <v>0</v>
      </c>
      <c r="J877" s="23">
        <v>1994.75</v>
      </c>
    </row>
    <row r="878" spans="1:10" ht="15.95" customHeight="1" x14ac:dyDescent="0.2">
      <c r="A878" s="27" t="s">
        <v>1334</v>
      </c>
      <c r="B878" s="480" t="s">
        <v>1335</v>
      </c>
      <c r="C878" s="476"/>
      <c r="D878" s="476"/>
      <c r="E878" s="23">
        <v>0</v>
      </c>
      <c r="F878" s="23">
        <v>2830.04</v>
      </c>
      <c r="H878" s="23">
        <v>0</v>
      </c>
      <c r="J878" s="23">
        <v>2830.04</v>
      </c>
    </row>
    <row r="879" spans="1:10" ht="15.95" customHeight="1" x14ac:dyDescent="0.2">
      <c r="A879" s="27" t="s">
        <v>1336</v>
      </c>
      <c r="B879" s="480" t="s">
        <v>188</v>
      </c>
      <c r="C879" s="476"/>
      <c r="D879" s="476"/>
      <c r="E879" s="23">
        <v>0</v>
      </c>
      <c r="F879" s="23">
        <v>1200.9000000000001</v>
      </c>
      <c r="H879" s="23">
        <v>0</v>
      </c>
      <c r="J879" s="23">
        <v>1200.9000000000001</v>
      </c>
    </row>
    <row r="880" spans="1:10" ht="15.95" customHeight="1" x14ac:dyDescent="0.2">
      <c r="A880" s="27" t="s">
        <v>1337</v>
      </c>
      <c r="B880" s="480" t="s">
        <v>1227</v>
      </c>
      <c r="C880" s="476"/>
      <c r="D880" s="476"/>
      <c r="E880" s="23">
        <v>0</v>
      </c>
      <c r="F880" s="23">
        <v>5959.58</v>
      </c>
      <c r="H880" s="23">
        <v>0</v>
      </c>
      <c r="J880" s="23">
        <v>5959.58</v>
      </c>
    </row>
    <row r="881" spans="1:10" ht="15.95" customHeight="1" x14ac:dyDescent="0.2">
      <c r="A881" s="27" t="s">
        <v>1338</v>
      </c>
      <c r="B881" s="480" t="s">
        <v>1224</v>
      </c>
      <c r="C881" s="476"/>
      <c r="D881" s="476"/>
      <c r="E881" s="23">
        <v>0</v>
      </c>
      <c r="F881" s="23">
        <v>39674.39</v>
      </c>
      <c r="H881" s="23">
        <v>177.6</v>
      </c>
      <c r="J881" s="23">
        <v>39496.79</v>
      </c>
    </row>
    <row r="882" spans="1:10" ht="15.95" customHeight="1" x14ac:dyDescent="0.2">
      <c r="A882" s="27" t="s">
        <v>1339</v>
      </c>
      <c r="B882" s="480" t="s">
        <v>1340</v>
      </c>
      <c r="C882" s="476"/>
      <c r="D882" s="476"/>
      <c r="E882" s="23">
        <v>0</v>
      </c>
      <c r="F882" s="23">
        <v>1372.04</v>
      </c>
      <c r="H882" s="23">
        <v>0</v>
      </c>
      <c r="J882" s="23">
        <v>1372.04</v>
      </c>
    </row>
    <row r="883" spans="1:10" ht="15.95" customHeight="1" x14ac:dyDescent="0.2">
      <c r="A883" s="27" t="s">
        <v>1634</v>
      </c>
      <c r="B883" s="480" t="s">
        <v>1635</v>
      </c>
      <c r="C883" s="476"/>
      <c r="D883" s="476"/>
      <c r="E883" s="23">
        <v>0</v>
      </c>
      <c r="F883" s="23">
        <v>5205.6000000000004</v>
      </c>
      <c r="H883" s="23">
        <v>0</v>
      </c>
      <c r="J883" s="23">
        <v>5205.6000000000004</v>
      </c>
    </row>
    <row r="884" spans="1:10" ht="15.95" customHeight="1" x14ac:dyDescent="0.2">
      <c r="A884" s="27" t="s">
        <v>1341</v>
      </c>
      <c r="B884" s="480" t="s">
        <v>1230</v>
      </c>
      <c r="C884" s="476"/>
      <c r="D884" s="476"/>
      <c r="E884" s="23">
        <v>0</v>
      </c>
      <c r="F884" s="23">
        <v>247.41</v>
      </c>
      <c r="H884" s="23">
        <v>0</v>
      </c>
      <c r="J884" s="23">
        <v>247.41</v>
      </c>
    </row>
    <row r="885" spans="1:10" ht="15.95" customHeight="1" x14ac:dyDescent="0.2">
      <c r="A885" s="27">
        <v>5110105</v>
      </c>
      <c r="B885" s="480" t="s">
        <v>1343</v>
      </c>
      <c r="C885" s="476"/>
      <c r="D885" s="476"/>
      <c r="E885" s="23">
        <v>0</v>
      </c>
      <c r="F885" s="23">
        <v>2591227.81</v>
      </c>
      <c r="H885" s="23">
        <v>9396.06</v>
      </c>
      <c r="J885" s="23">
        <v>2581831.75</v>
      </c>
    </row>
    <row r="886" spans="1:10" ht="15.95" customHeight="1" x14ac:dyDescent="0.2">
      <c r="A886" s="27" t="s">
        <v>1344</v>
      </c>
      <c r="B886" s="480" t="s">
        <v>1239</v>
      </c>
      <c r="C886" s="476"/>
      <c r="D886" s="476"/>
      <c r="E886" s="23">
        <v>0</v>
      </c>
      <c r="F886" s="23">
        <v>266398.17</v>
      </c>
      <c r="H886" s="23">
        <v>0</v>
      </c>
      <c r="J886" s="23">
        <v>266398.17</v>
      </c>
    </row>
    <row r="887" spans="1:10" ht="15.95" customHeight="1" x14ac:dyDescent="0.2">
      <c r="A887" s="27" t="s">
        <v>1345</v>
      </c>
      <c r="B887" s="480" t="s">
        <v>1346</v>
      </c>
      <c r="C887" s="476"/>
      <c r="D887" s="476"/>
      <c r="E887" s="23">
        <v>0</v>
      </c>
      <c r="F887" s="23">
        <v>18351.73</v>
      </c>
      <c r="H887" s="23">
        <v>0</v>
      </c>
      <c r="J887" s="23">
        <v>18351.73</v>
      </c>
    </row>
    <row r="888" spans="1:10" ht="15.95" customHeight="1" x14ac:dyDescent="0.2">
      <c r="A888" s="27" t="s">
        <v>1347</v>
      </c>
      <c r="B888" s="480" t="s">
        <v>1348</v>
      </c>
      <c r="C888" s="476"/>
      <c r="D888" s="476"/>
      <c r="E888" s="23">
        <v>0</v>
      </c>
      <c r="F888" s="23">
        <v>10908.61</v>
      </c>
      <c r="H888" s="23">
        <v>0</v>
      </c>
      <c r="J888" s="23">
        <v>10908.61</v>
      </c>
    </row>
    <row r="889" spans="1:10" ht="15.95" customHeight="1" x14ac:dyDescent="0.2">
      <c r="A889" s="27" t="s">
        <v>1572</v>
      </c>
      <c r="B889" s="480" t="s">
        <v>1241</v>
      </c>
      <c r="C889" s="476"/>
      <c r="D889" s="476"/>
      <c r="E889" s="23">
        <v>0</v>
      </c>
      <c r="F889" s="23">
        <v>904.17</v>
      </c>
      <c r="H889" s="23">
        <v>0</v>
      </c>
      <c r="J889" s="23">
        <v>904.17</v>
      </c>
    </row>
    <row r="890" spans="1:10" ht="15.95" customHeight="1" x14ac:dyDescent="0.2">
      <c r="A890" s="27" t="s">
        <v>1573</v>
      </c>
      <c r="B890" s="480" t="s">
        <v>1574</v>
      </c>
      <c r="C890" s="476"/>
      <c r="D890" s="476"/>
      <c r="E890" s="23">
        <v>0</v>
      </c>
      <c r="F890" s="23">
        <v>35169.53</v>
      </c>
      <c r="H890" s="23">
        <v>0</v>
      </c>
      <c r="J890" s="23">
        <v>35169.53</v>
      </c>
    </row>
    <row r="891" spans="1:10" ht="15.95" customHeight="1" x14ac:dyDescent="0.2">
      <c r="A891" s="27" t="s">
        <v>1349</v>
      </c>
      <c r="B891" s="480" t="s">
        <v>1243</v>
      </c>
      <c r="C891" s="476"/>
      <c r="D891" s="476"/>
      <c r="E891" s="23">
        <v>0</v>
      </c>
      <c r="F891" s="23">
        <v>5625</v>
      </c>
      <c r="H891" s="23">
        <v>0</v>
      </c>
      <c r="J891" s="23">
        <v>5625</v>
      </c>
    </row>
    <row r="892" spans="1:10" ht="15.95" customHeight="1" x14ac:dyDescent="0.2">
      <c r="A892" s="27" t="s">
        <v>1575</v>
      </c>
      <c r="B892" s="480" t="s">
        <v>1576</v>
      </c>
      <c r="C892" s="476"/>
      <c r="D892" s="476"/>
      <c r="E892" s="23">
        <v>0</v>
      </c>
      <c r="F892" s="23">
        <v>10336.629999999999</v>
      </c>
      <c r="H892" s="23">
        <v>0</v>
      </c>
      <c r="J892" s="23">
        <v>10336.629999999999</v>
      </c>
    </row>
    <row r="893" spans="1:10" ht="15.95" customHeight="1" x14ac:dyDescent="0.2">
      <c r="A893" s="27" t="s">
        <v>1350</v>
      </c>
      <c r="B893" s="480" t="s">
        <v>1351</v>
      </c>
      <c r="C893" s="476"/>
      <c r="D893" s="476"/>
      <c r="E893" s="23">
        <v>0</v>
      </c>
      <c r="F893" s="23">
        <v>6323.21</v>
      </c>
      <c r="H893" s="23">
        <v>0</v>
      </c>
      <c r="J893" s="23">
        <v>6323.21</v>
      </c>
    </row>
    <row r="894" spans="1:10" ht="15.95" customHeight="1" x14ac:dyDescent="0.2">
      <c r="A894" s="27" t="s">
        <v>1352</v>
      </c>
      <c r="B894" s="480" t="s">
        <v>1353</v>
      </c>
      <c r="C894" s="476"/>
      <c r="D894" s="476"/>
      <c r="E894" s="23">
        <v>0</v>
      </c>
      <c r="F894" s="23">
        <v>74.38</v>
      </c>
      <c r="H894" s="23">
        <v>0</v>
      </c>
      <c r="J894" s="23">
        <v>74.38</v>
      </c>
    </row>
    <row r="895" spans="1:10" ht="15.95" customHeight="1" x14ac:dyDescent="0.2">
      <c r="A895" s="27" t="s">
        <v>1354</v>
      </c>
      <c r="B895" s="480" t="s">
        <v>1355</v>
      </c>
      <c r="C895" s="476"/>
      <c r="D895" s="476"/>
      <c r="E895" s="23">
        <v>0</v>
      </c>
      <c r="F895" s="23">
        <v>101263.56</v>
      </c>
      <c r="H895" s="23">
        <v>9041.7900000000009</v>
      </c>
      <c r="J895" s="23">
        <v>92221.77</v>
      </c>
    </row>
    <row r="896" spans="1:10" ht="15.95" customHeight="1" x14ac:dyDescent="0.2">
      <c r="A896" s="27" t="s">
        <v>1577</v>
      </c>
      <c r="B896" s="480" t="s">
        <v>1578</v>
      </c>
      <c r="C896" s="476"/>
      <c r="D896" s="476"/>
      <c r="E896" s="23">
        <v>0</v>
      </c>
      <c r="F896" s="23">
        <v>198.71</v>
      </c>
      <c r="H896" s="23">
        <v>0</v>
      </c>
      <c r="J896" s="23">
        <v>198.71</v>
      </c>
    </row>
    <row r="897" spans="1:10" ht="15.95" customHeight="1" x14ac:dyDescent="0.2">
      <c r="A897" s="27" t="s">
        <v>1356</v>
      </c>
      <c r="B897" s="480" t="s">
        <v>200</v>
      </c>
      <c r="C897" s="476"/>
      <c r="D897" s="476"/>
      <c r="E897" s="23">
        <v>0</v>
      </c>
      <c r="F897" s="23">
        <v>96642</v>
      </c>
      <c r="H897" s="23">
        <v>0</v>
      </c>
      <c r="J897" s="23">
        <v>96642</v>
      </c>
    </row>
    <row r="898" spans="1:10" ht="15.95" customHeight="1" x14ac:dyDescent="0.2">
      <c r="A898" s="27" t="s">
        <v>1357</v>
      </c>
      <c r="B898" s="480" t="s">
        <v>1358</v>
      </c>
      <c r="C898" s="476"/>
      <c r="D898" s="476"/>
      <c r="E898" s="23">
        <v>0</v>
      </c>
      <c r="F898" s="23">
        <v>152008.9</v>
      </c>
      <c r="H898" s="23">
        <v>0</v>
      </c>
      <c r="J898" s="23">
        <v>152008.9</v>
      </c>
    </row>
    <row r="899" spans="1:10" ht="27.95" customHeight="1" x14ac:dyDescent="0.2">
      <c r="A899" s="27" t="s">
        <v>1359</v>
      </c>
      <c r="B899" s="480" t="s">
        <v>1360</v>
      </c>
      <c r="C899" s="476"/>
      <c r="D899" s="476"/>
      <c r="E899" s="23">
        <v>0</v>
      </c>
      <c r="F899" s="23">
        <v>11889.12</v>
      </c>
      <c r="H899" s="23">
        <v>325.02999999999997</v>
      </c>
      <c r="J899" s="23">
        <v>11564.09</v>
      </c>
    </row>
    <row r="900" spans="1:10" ht="15.95" customHeight="1" x14ac:dyDescent="0.2">
      <c r="A900" s="484" t="s">
        <v>1446</v>
      </c>
      <c r="B900" s="476"/>
      <c r="C900" s="476"/>
      <c r="D900" s="96" t="s">
        <v>1742</v>
      </c>
      <c r="J900" s="97" t="s">
        <v>1743</v>
      </c>
    </row>
    <row r="901" spans="1:10" ht="20.100000000000001" customHeight="1" x14ac:dyDescent="0.2">
      <c r="A901" s="93" t="s">
        <v>1424</v>
      </c>
      <c r="J901" s="94" t="s">
        <v>1758</v>
      </c>
    </row>
    <row r="902" spans="1:10" ht="15.95" customHeight="1" x14ac:dyDescent="0.2">
      <c r="A902" s="27" t="s">
        <v>1737</v>
      </c>
      <c r="C902" s="27" t="s">
        <v>0</v>
      </c>
      <c r="J902" s="23" t="s">
        <v>1738</v>
      </c>
    </row>
    <row r="903" spans="1:10" ht="14.1" customHeight="1" x14ac:dyDescent="0.2">
      <c r="A903" s="95" t="s">
        <v>1739</v>
      </c>
      <c r="J903" s="23" t="s">
        <v>1740</v>
      </c>
    </row>
    <row r="904" spans="1:10" ht="15" customHeight="1" x14ac:dyDescent="0.2">
      <c r="A904" s="95" t="s">
        <v>1741</v>
      </c>
    </row>
    <row r="905" spans="1:10" ht="23.1" customHeight="1" x14ac:dyDescent="0.2">
      <c r="A905" s="20" t="s">
        <v>55</v>
      </c>
      <c r="B905" s="20" t="s">
        <v>56</v>
      </c>
      <c r="E905" s="21" t="s">
        <v>57</v>
      </c>
      <c r="F905" s="21" t="s">
        <v>58</v>
      </c>
      <c r="H905" s="21" t="s">
        <v>59</v>
      </c>
      <c r="J905" s="21" t="s">
        <v>60</v>
      </c>
    </row>
    <row r="906" spans="1:10" ht="15.95" customHeight="1" x14ac:dyDescent="0.2">
      <c r="A906" s="27" t="s">
        <v>1361</v>
      </c>
      <c r="B906" s="480" t="s">
        <v>1362</v>
      </c>
      <c r="C906" s="476"/>
      <c r="D906" s="476"/>
      <c r="E906" s="23">
        <v>0</v>
      </c>
      <c r="F906" s="23">
        <v>1131947.8899999999</v>
      </c>
      <c r="H906" s="23">
        <v>0</v>
      </c>
      <c r="J906" s="23">
        <v>1131947.8899999999</v>
      </c>
    </row>
    <row r="907" spans="1:10" ht="15.95" customHeight="1" x14ac:dyDescent="0.2">
      <c r="A907" s="27" t="s">
        <v>1363</v>
      </c>
      <c r="B907" s="480" t="s">
        <v>1364</v>
      </c>
      <c r="C907" s="476"/>
      <c r="D907" s="476"/>
      <c r="E907" s="23">
        <v>0</v>
      </c>
      <c r="F907" s="23">
        <v>628297.85</v>
      </c>
      <c r="H907" s="23">
        <v>0</v>
      </c>
      <c r="J907" s="23">
        <v>628297.85</v>
      </c>
    </row>
    <row r="908" spans="1:10" ht="15.95" customHeight="1" x14ac:dyDescent="0.2">
      <c r="A908" s="27" t="s">
        <v>1365</v>
      </c>
      <c r="B908" s="480" t="s">
        <v>1366</v>
      </c>
      <c r="C908" s="476"/>
      <c r="D908" s="476"/>
      <c r="E908" s="23">
        <v>0</v>
      </c>
      <c r="F908" s="23">
        <v>12565.32</v>
      </c>
      <c r="H908" s="23">
        <v>0</v>
      </c>
      <c r="J908" s="23">
        <v>12565.32</v>
      </c>
    </row>
    <row r="909" spans="1:10" ht="15.95" customHeight="1" x14ac:dyDescent="0.2">
      <c r="A909" s="27" t="s">
        <v>1367</v>
      </c>
      <c r="B909" s="480" t="s">
        <v>1368</v>
      </c>
      <c r="C909" s="476"/>
      <c r="D909" s="476"/>
      <c r="E909" s="23">
        <v>0</v>
      </c>
      <c r="F909" s="23">
        <v>22482.48</v>
      </c>
      <c r="H909" s="23">
        <v>0</v>
      </c>
      <c r="J909" s="23">
        <v>22482.48</v>
      </c>
    </row>
    <row r="910" spans="1:10" ht="15.95" customHeight="1" x14ac:dyDescent="0.2">
      <c r="A910" s="27" t="s">
        <v>1369</v>
      </c>
      <c r="B910" s="480" t="s">
        <v>1370</v>
      </c>
      <c r="C910" s="476"/>
      <c r="D910" s="476"/>
      <c r="E910" s="23">
        <v>0</v>
      </c>
      <c r="F910" s="23">
        <v>84</v>
      </c>
      <c r="H910" s="23">
        <v>0</v>
      </c>
      <c r="J910" s="23">
        <v>84</v>
      </c>
    </row>
    <row r="911" spans="1:10" ht="15.95" customHeight="1" x14ac:dyDescent="0.2">
      <c r="A911" s="27" t="s">
        <v>1371</v>
      </c>
      <c r="B911" s="480" t="s">
        <v>1372</v>
      </c>
      <c r="C911" s="476"/>
      <c r="D911" s="476"/>
      <c r="E911" s="23">
        <v>0</v>
      </c>
      <c r="F911" s="23">
        <v>6776.8</v>
      </c>
      <c r="H911" s="23">
        <v>0</v>
      </c>
      <c r="J911" s="23">
        <v>6776.8</v>
      </c>
    </row>
    <row r="912" spans="1:10" ht="15.95" customHeight="1" x14ac:dyDescent="0.2">
      <c r="A912" s="27" t="s">
        <v>1373</v>
      </c>
      <c r="B912" s="480" t="s">
        <v>202</v>
      </c>
      <c r="C912" s="476"/>
      <c r="D912" s="476"/>
      <c r="E912" s="23">
        <v>0</v>
      </c>
      <c r="F912" s="23">
        <v>46352.14</v>
      </c>
      <c r="H912" s="23">
        <v>0</v>
      </c>
      <c r="J912" s="23">
        <v>46352.14</v>
      </c>
    </row>
    <row r="913" spans="1:10" ht="15.95" customHeight="1" x14ac:dyDescent="0.2">
      <c r="A913" s="27" t="s">
        <v>1374</v>
      </c>
      <c r="B913" s="480" t="s">
        <v>1375</v>
      </c>
      <c r="C913" s="476"/>
      <c r="D913" s="476"/>
      <c r="E913" s="23">
        <v>0</v>
      </c>
      <c r="F913" s="23">
        <v>26233.61</v>
      </c>
      <c r="H913" s="23">
        <v>29.24</v>
      </c>
      <c r="J913" s="23">
        <v>26204.37</v>
      </c>
    </row>
    <row r="914" spans="1:10" ht="15.95" customHeight="1" x14ac:dyDescent="0.2">
      <c r="A914" s="27" t="s">
        <v>1376</v>
      </c>
      <c r="B914" s="480" t="s">
        <v>1377</v>
      </c>
      <c r="C914" s="476"/>
      <c r="D914" s="476"/>
      <c r="E914" s="23">
        <v>0</v>
      </c>
      <c r="F914" s="23">
        <v>394</v>
      </c>
      <c r="H914" s="23">
        <v>0</v>
      </c>
      <c r="J914" s="23">
        <v>394</v>
      </c>
    </row>
    <row r="915" spans="1:10" ht="15.95" customHeight="1" x14ac:dyDescent="0.2">
      <c r="A915" s="27">
        <v>59</v>
      </c>
      <c r="B915" s="480" t="s">
        <v>1378</v>
      </c>
      <c r="C915" s="476"/>
      <c r="D915" s="476"/>
      <c r="E915" s="23">
        <v>0</v>
      </c>
      <c r="F915" s="23">
        <v>1949585.44</v>
      </c>
      <c r="H915" s="23">
        <v>273609.46000000002</v>
      </c>
      <c r="J915" s="23">
        <v>1675975.98</v>
      </c>
    </row>
    <row r="916" spans="1:10" ht="15.95" customHeight="1" x14ac:dyDescent="0.2">
      <c r="A916" s="27">
        <v>591</v>
      </c>
      <c r="B916" s="480" t="s">
        <v>1379</v>
      </c>
      <c r="C916" s="476"/>
      <c r="D916" s="476"/>
      <c r="E916" s="23">
        <v>0</v>
      </c>
      <c r="F916" s="23">
        <v>1949585.44</v>
      </c>
      <c r="H916" s="23">
        <v>273609.46000000002</v>
      </c>
      <c r="J916" s="23">
        <v>1675975.98</v>
      </c>
    </row>
    <row r="917" spans="1:10" ht="15.95" customHeight="1" x14ac:dyDescent="0.2">
      <c r="A917" s="27">
        <v>59101</v>
      </c>
      <c r="B917" s="480" t="s">
        <v>1380</v>
      </c>
      <c r="C917" s="476"/>
      <c r="D917" s="476"/>
      <c r="E917" s="23">
        <v>0</v>
      </c>
      <c r="F917" s="23">
        <v>1949585.44</v>
      </c>
      <c r="H917" s="23">
        <v>0</v>
      </c>
      <c r="J917" s="23">
        <v>1949585.44</v>
      </c>
    </row>
    <row r="918" spans="1:10" ht="15.95" customHeight="1" x14ac:dyDescent="0.2">
      <c r="A918" s="27">
        <v>5910101</v>
      </c>
      <c r="B918" s="480" t="s">
        <v>1380</v>
      </c>
      <c r="C918" s="476"/>
      <c r="D918" s="476"/>
      <c r="E918" s="23">
        <v>0</v>
      </c>
      <c r="F918" s="23">
        <v>1949585.44</v>
      </c>
      <c r="H918" s="23">
        <v>0</v>
      </c>
      <c r="J918" s="23">
        <v>1949585.44</v>
      </c>
    </row>
    <row r="919" spans="1:10" ht="15.95" customHeight="1" x14ac:dyDescent="0.2">
      <c r="A919" s="27" t="s">
        <v>1383</v>
      </c>
      <c r="B919" s="480" t="s">
        <v>1384</v>
      </c>
      <c r="C919" s="476"/>
      <c r="D919" s="476"/>
      <c r="E919" s="23">
        <v>0</v>
      </c>
      <c r="F919" s="23">
        <v>215724.78</v>
      </c>
      <c r="H919" s="23">
        <v>0</v>
      </c>
      <c r="J919" s="23">
        <v>215724.78</v>
      </c>
    </row>
    <row r="920" spans="1:10" ht="15.95" customHeight="1" x14ac:dyDescent="0.2">
      <c r="A920" s="27" t="s">
        <v>1385</v>
      </c>
      <c r="B920" s="480" t="s">
        <v>1386</v>
      </c>
      <c r="C920" s="476"/>
      <c r="D920" s="476"/>
      <c r="E920" s="23">
        <v>0</v>
      </c>
      <c r="F920" s="23">
        <v>132902.42000000001</v>
      </c>
      <c r="H920" s="23">
        <v>0</v>
      </c>
      <c r="J920" s="23">
        <v>132902.42000000001</v>
      </c>
    </row>
    <row r="921" spans="1:10" ht="15.95" customHeight="1" x14ac:dyDescent="0.2">
      <c r="A921" s="27" t="s">
        <v>1387</v>
      </c>
      <c r="B921" s="480" t="s">
        <v>1388</v>
      </c>
      <c r="C921" s="476"/>
      <c r="D921" s="476"/>
      <c r="E921" s="23">
        <v>0</v>
      </c>
      <c r="F921" s="23">
        <v>11928.01</v>
      </c>
      <c r="H921" s="23">
        <v>0</v>
      </c>
      <c r="J921" s="23">
        <v>11928.01</v>
      </c>
    </row>
    <row r="922" spans="1:10" ht="15.95" customHeight="1" x14ac:dyDescent="0.2">
      <c r="A922" s="27" t="s">
        <v>1389</v>
      </c>
      <c r="B922" s="480" t="s">
        <v>1390</v>
      </c>
      <c r="C922" s="476"/>
      <c r="D922" s="476"/>
      <c r="E922" s="23">
        <v>0</v>
      </c>
      <c r="F922" s="23">
        <v>1586034.23</v>
      </c>
      <c r="H922" s="23">
        <v>0</v>
      </c>
      <c r="J922" s="23">
        <v>1586034.23</v>
      </c>
    </row>
    <row r="923" spans="1:10" ht="15.95" customHeight="1" x14ac:dyDescent="0.2">
      <c r="A923" s="27" t="s">
        <v>1636</v>
      </c>
      <c r="B923" s="480" t="s">
        <v>1637</v>
      </c>
      <c r="C923" s="476"/>
      <c r="D923" s="476"/>
      <c r="E923" s="23">
        <v>0</v>
      </c>
      <c r="F923" s="23">
        <v>2996</v>
      </c>
      <c r="H923" s="23">
        <v>0</v>
      </c>
      <c r="J923" s="23">
        <v>2996</v>
      </c>
    </row>
    <row r="924" spans="1:10" ht="15.95" customHeight="1" x14ac:dyDescent="0.2">
      <c r="A924" s="27">
        <v>59102</v>
      </c>
      <c r="B924" s="480" t="s">
        <v>1391</v>
      </c>
      <c r="C924" s="476"/>
      <c r="D924" s="476"/>
      <c r="E924" s="23">
        <v>0</v>
      </c>
      <c r="F924" s="23">
        <v>0</v>
      </c>
      <c r="H924" s="23">
        <v>273609.46000000002</v>
      </c>
      <c r="J924" s="23">
        <v>-273609.46000000002</v>
      </c>
    </row>
    <row r="925" spans="1:10" ht="15.95" customHeight="1" x14ac:dyDescent="0.2">
      <c r="A925" s="27">
        <v>5910201</v>
      </c>
      <c r="B925" s="480" t="s">
        <v>1391</v>
      </c>
      <c r="C925" s="476"/>
      <c r="D925" s="476"/>
      <c r="E925" s="23">
        <v>0</v>
      </c>
      <c r="F925" s="23">
        <v>0</v>
      </c>
      <c r="H925" s="23">
        <v>273609.46000000002</v>
      </c>
      <c r="J925" s="23">
        <v>-273609.46000000002</v>
      </c>
    </row>
    <row r="926" spans="1:10" ht="15.95" customHeight="1" x14ac:dyDescent="0.2">
      <c r="A926" s="27" t="s">
        <v>1579</v>
      </c>
      <c r="B926" s="480" t="s">
        <v>1580</v>
      </c>
      <c r="C926" s="476"/>
      <c r="D926" s="476"/>
      <c r="E926" s="23">
        <v>0</v>
      </c>
      <c r="F926" s="23">
        <v>0</v>
      </c>
      <c r="H926" s="23">
        <v>72.010000000000005</v>
      </c>
      <c r="J926" s="23">
        <v>-72.010000000000005</v>
      </c>
    </row>
    <row r="927" spans="1:10" ht="15.95" customHeight="1" x14ac:dyDescent="0.2">
      <c r="A927" s="27" t="s">
        <v>1392</v>
      </c>
      <c r="B927" s="480" t="s">
        <v>1393</v>
      </c>
      <c r="C927" s="476"/>
      <c r="D927" s="476"/>
      <c r="E927" s="23">
        <v>0</v>
      </c>
      <c r="F927" s="23">
        <v>0</v>
      </c>
      <c r="H927" s="23">
        <v>192128.17</v>
      </c>
      <c r="J927" s="23">
        <v>-192128.17</v>
      </c>
    </row>
    <row r="928" spans="1:10" ht="15.95" customHeight="1" x14ac:dyDescent="0.2">
      <c r="A928" s="27" t="s">
        <v>1581</v>
      </c>
      <c r="B928" s="480" t="s">
        <v>1582</v>
      </c>
      <c r="C928" s="476"/>
      <c r="D928" s="476"/>
      <c r="E928" s="23">
        <v>0</v>
      </c>
      <c r="F928" s="23">
        <v>0</v>
      </c>
      <c r="H928" s="23">
        <v>938.87</v>
      </c>
      <c r="J928" s="23">
        <v>-938.87</v>
      </c>
    </row>
    <row r="929" spans="1:10" ht="15.95" customHeight="1" x14ac:dyDescent="0.2">
      <c r="A929" s="27" t="s">
        <v>1394</v>
      </c>
      <c r="B929" s="480" t="s">
        <v>1395</v>
      </c>
      <c r="C929" s="476"/>
      <c r="D929" s="476"/>
      <c r="E929" s="23">
        <v>0</v>
      </c>
      <c r="F929" s="23">
        <v>0</v>
      </c>
      <c r="H929" s="23">
        <v>65333.75</v>
      </c>
      <c r="J929" s="23">
        <v>-65333.75</v>
      </c>
    </row>
    <row r="930" spans="1:10" ht="15.95" customHeight="1" x14ac:dyDescent="0.2">
      <c r="A930" s="27" t="s">
        <v>1396</v>
      </c>
      <c r="B930" s="480" t="s">
        <v>1397</v>
      </c>
      <c r="C930" s="476"/>
      <c r="D930" s="476"/>
      <c r="E930" s="23">
        <v>0</v>
      </c>
      <c r="F930" s="23">
        <v>0</v>
      </c>
      <c r="H930" s="23">
        <v>14402.04</v>
      </c>
      <c r="J930" s="23">
        <v>-14402.04</v>
      </c>
    </row>
    <row r="931" spans="1:10" ht="15.95" customHeight="1" x14ac:dyDescent="0.2">
      <c r="A931" s="27" t="s">
        <v>1583</v>
      </c>
      <c r="B931" s="480" t="s">
        <v>1584</v>
      </c>
      <c r="C931" s="476"/>
      <c r="D931" s="476"/>
      <c r="E931" s="23">
        <v>0</v>
      </c>
      <c r="F931" s="23">
        <v>0</v>
      </c>
      <c r="H931" s="23">
        <v>734.62</v>
      </c>
      <c r="J931" s="23">
        <v>-734.62</v>
      </c>
    </row>
    <row r="932" spans="1:10" ht="15.95" customHeight="1" x14ac:dyDescent="0.2">
      <c r="A932" s="27">
        <v>6</v>
      </c>
      <c r="B932" s="480" t="s">
        <v>1400</v>
      </c>
      <c r="C932" s="476"/>
      <c r="D932" s="476"/>
      <c r="E932" s="23">
        <v>0</v>
      </c>
      <c r="F932" s="23">
        <v>294386.75</v>
      </c>
      <c r="H932" s="23">
        <v>539407.93999999994</v>
      </c>
      <c r="J932" s="23">
        <v>-245021.19</v>
      </c>
    </row>
    <row r="933" spans="1:10" ht="15.95" customHeight="1" x14ac:dyDescent="0.2">
      <c r="A933" s="27">
        <v>62</v>
      </c>
      <c r="B933" s="480" t="s">
        <v>1401</v>
      </c>
      <c r="C933" s="476"/>
      <c r="D933" s="476"/>
      <c r="E933" s="23">
        <v>0</v>
      </c>
      <c r="F933" s="23">
        <v>294386.75</v>
      </c>
      <c r="H933" s="23">
        <v>539407.93999999994</v>
      </c>
      <c r="J933" s="23">
        <v>-245021.19</v>
      </c>
    </row>
    <row r="934" spans="1:10" ht="15.95" customHeight="1" x14ac:dyDescent="0.2">
      <c r="A934" s="27">
        <v>621</v>
      </c>
      <c r="B934" s="480" t="s">
        <v>1402</v>
      </c>
      <c r="C934" s="476"/>
      <c r="D934" s="476"/>
      <c r="E934" s="23">
        <v>0</v>
      </c>
      <c r="F934" s="23">
        <v>0</v>
      </c>
      <c r="H934" s="23">
        <v>256268.08</v>
      </c>
      <c r="J934" s="23">
        <v>-256268.08</v>
      </c>
    </row>
    <row r="935" spans="1:10" ht="15.95" customHeight="1" x14ac:dyDescent="0.2">
      <c r="A935" s="27">
        <v>62101</v>
      </c>
      <c r="B935" s="480" t="s">
        <v>1403</v>
      </c>
      <c r="C935" s="476"/>
      <c r="D935" s="476"/>
      <c r="E935" s="23">
        <v>0</v>
      </c>
      <c r="F935" s="23">
        <v>0</v>
      </c>
      <c r="H935" s="23">
        <v>256268.08</v>
      </c>
      <c r="J935" s="23">
        <v>-256268.08</v>
      </c>
    </row>
    <row r="936" spans="1:10" ht="15.95" customHeight="1" x14ac:dyDescent="0.2">
      <c r="A936" s="27">
        <v>6210101</v>
      </c>
      <c r="B936" s="480" t="s">
        <v>1404</v>
      </c>
      <c r="C936" s="476"/>
      <c r="D936" s="476"/>
      <c r="E936" s="23">
        <v>0</v>
      </c>
      <c r="F936" s="23">
        <v>0</v>
      </c>
      <c r="H936" s="23">
        <v>256268.08</v>
      </c>
      <c r="J936" s="23">
        <v>-256268.08</v>
      </c>
    </row>
    <row r="937" spans="1:10" ht="15.95" customHeight="1" x14ac:dyDescent="0.2">
      <c r="A937" s="27" t="s">
        <v>1405</v>
      </c>
      <c r="B937" s="480" t="s">
        <v>1406</v>
      </c>
      <c r="C937" s="476"/>
      <c r="D937" s="476"/>
      <c r="E937" s="23">
        <v>0</v>
      </c>
      <c r="F937" s="23">
        <v>0</v>
      </c>
      <c r="H937" s="23">
        <v>25624.15</v>
      </c>
      <c r="J937" s="23">
        <v>-25624.15</v>
      </c>
    </row>
    <row r="938" spans="1:10" ht="15.95" customHeight="1" x14ac:dyDescent="0.2">
      <c r="A938" s="27" t="s">
        <v>1585</v>
      </c>
      <c r="B938" s="480" t="s">
        <v>1586</v>
      </c>
      <c r="C938" s="476"/>
      <c r="D938" s="476"/>
      <c r="E938" s="23">
        <v>0</v>
      </c>
      <c r="F938" s="23">
        <v>0</v>
      </c>
      <c r="H938" s="23">
        <v>42706.09</v>
      </c>
      <c r="J938" s="23">
        <v>-42706.09</v>
      </c>
    </row>
    <row r="939" spans="1:10" ht="15.95" customHeight="1" x14ac:dyDescent="0.2">
      <c r="A939" s="27" t="s">
        <v>1407</v>
      </c>
      <c r="B939" s="480" t="s">
        <v>1403</v>
      </c>
      <c r="C939" s="476"/>
      <c r="D939" s="476"/>
      <c r="E939" s="23">
        <v>0</v>
      </c>
      <c r="F939" s="23">
        <v>0</v>
      </c>
      <c r="H939" s="23">
        <v>142915.19</v>
      </c>
      <c r="J939" s="23">
        <v>-142915.19</v>
      </c>
    </row>
    <row r="940" spans="1:10" ht="15.95" customHeight="1" x14ac:dyDescent="0.2">
      <c r="A940" s="27" t="s">
        <v>1587</v>
      </c>
      <c r="B940" s="480" t="s">
        <v>1588</v>
      </c>
      <c r="C940" s="476"/>
      <c r="D940" s="476"/>
      <c r="E940" s="23">
        <v>0</v>
      </c>
      <c r="F940" s="23">
        <v>0</v>
      </c>
      <c r="H940" s="23">
        <v>45022.65</v>
      </c>
      <c r="J940" s="23">
        <v>-45022.65</v>
      </c>
    </row>
    <row r="941" spans="1:10" ht="15.95" customHeight="1" x14ac:dyDescent="0.2">
      <c r="A941" s="27">
        <v>624</v>
      </c>
      <c r="B941" s="480" t="s">
        <v>1410</v>
      </c>
      <c r="C941" s="476"/>
      <c r="D941" s="476"/>
      <c r="E941" s="23">
        <v>0</v>
      </c>
      <c r="F941" s="23">
        <v>114901.16</v>
      </c>
      <c r="H941" s="23">
        <v>178092.19</v>
      </c>
      <c r="J941" s="23">
        <v>-63191.03</v>
      </c>
    </row>
    <row r="942" spans="1:10" ht="15.95" customHeight="1" x14ac:dyDescent="0.2">
      <c r="A942" s="27">
        <v>62401</v>
      </c>
      <c r="B942" s="480" t="s">
        <v>1410</v>
      </c>
      <c r="C942" s="476"/>
      <c r="D942" s="476"/>
      <c r="E942" s="23">
        <v>0</v>
      </c>
      <c r="F942" s="23">
        <v>114901.16</v>
      </c>
      <c r="H942" s="23">
        <v>178092.19</v>
      </c>
      <c r="J942" s="23">
        <v>-63191.03</v>
      </c>
    </row>
    <row r="943" spans="1:10" ht="15.95" customHeight="1" x14ac:dyDescent="0.2">
      <c r="A943" s="27">
        <v>6240101</v>
      </c>
      <c r="B943" s="480" t="s">
        <v>1410</v>
      </c>
      <c r="C943" s="476"/>
      <c r="D943" s="476"/>
      <c r="E943" s="23">
        <v>0</v>
      </c>
      <c r="F943" s="23">
        <v>114901.16</v>
      </c>
      <c r="H943" s="23">
        <v>178092.19</v>
      </c>
      <c r="J943" s="23">
        <v>-63191.03</v>
      </c>
    </row>
    <row r="944" spans="1:10" ht="15.95" customHeight="1" x14ac:dyDescent="0.2">
      <c r="A944" s="27" t="s">
        <v>1589</v>
      </c>
      <c r="B944" s="480" t="s">
        <v>1590</v>
      </c>
      <c r="C944" s="476"/>
      <c r="D944" s="476"/>
      <c r="E944" s="23">
        <v>0</v>
      </c>
      <c r="F944" s="23">
        <v>114901.16</v>
      </c>
      <c r="H944" s="23">
        <v>178092.19</v>
      </c>
      <c r="J944" s="23">
        <v>-63191.03</v>
      </c>
    </row>
    <row r="945" spans="1:10" ht="15.95" customHeight="1" x14ac:dyDescent="0.2">
      <c r="A945" s="27">
        <v>625</v>
      </c>
      <c r="B945" s="480" t="s">
        <v>1413</v>
      </c>
      <c r="C945" s="476"/>
      <c r="D945" s="476"/>
      <c r="E945" s="23">
        <v>0</v>
      </c>
      <c r="F945" s="23">
        <v>179485.59</v>
      </c>
      <c r="H945" s="23">
        <v>105047.67</v>
      </c>
      <c r="J945" s="23">
        <v>74437.919999999998</v>
      </c>
    </row>
    <row r="946" spans="1:10" ht="15.95" customHeight="1" x14ac:dyDescent="0.2">
      <c r="A946" s="27">
        <v>62501</v>
      </c>
      <c r="B946" s="480" t="s">
        <v>1413</v>
      </c>
      <c r="C946" s="476"/>
      <c r="D946" s="476"/>
      <c r="E946" s="23">
        <v>0</v>
      </c>
      <c r="F946" s="23">
        <v>179485.59</v>
      </c>
      <c r="H946" s="23">
        <v>105047.67</v>
      </c>
      <c r="J946" s="23">
        <v>74437.919999999998</v>
      </c>
    </row>
    <row r="947" spans="1:10" ht="15.95" customHeight="1" x14ac:dyDescent="0.2">
      <c r="A947" s="27">
        <v>6250101</v>
      </c>
      <c r="B947" s="480" t="s">
        <v>1414</v>
      </c>
      <c r="C947" s="476"/>
      <c r="D947" s="476"/>
      <c r="E947" s="23">
        <v>0</v>
      </c>
      <c r="F947" s="23">
        <v>179485.59</v>
      </c>
      <c r="H947" s="23">
        <v>105047.67</v>
      </c>
      <c r="J947" s="23">
        <v>74437.919999999998</v>
      </c>
    </row>
    <row r="948" spans="1:10" ht="15.95" customHeight="1" x14ac:dyDescent="0.2">
      <c r="A948" s="27" t="s">
        <v>1415</v>
      </c>
      <c r="B948" s="480" t="s">
        <v>1416</v>
      </c>
      <c r="C948" s="476"/>
      <c r="D948" s="476"/>
      <c r="E948" s="23">
        <v>0</v>
      </c>
      <c r="F948" s="23">
        <v>169755.62</v>
      </c>
      <c r="H948" s="23">
        <v>105047.67</v>
      </c>
      <c r="J948" s="23">
        <v>64707.95</v>
      </c>
    </row>
    <row r="949" spans="1:10" ht="15.95" customHeight="1" x14ac:dyDescent="0.2">
      <c r="A949" s="27" t="s">
        <v>1417</v>
      </c>
      <c r="B949" s="480" t="s">
        <v>1418</v>
      </c>
      <c r="C949" s="476"/>
      <c r="D949" s="476"/>
      <c r="E949" s="23">
        <v>0</v>
      </c>
      <c r="F949" s="23">
        <v>9729.9699999999993</v>
      </c>
      <c r="H949" s="23">
        <v>0</v>
      </c>
      <c r="J949" s="23">
        <v>9729.9699999999993</v>
      </c>
    </row>
    <row r="950" spans="1:10" ht="15.95" customHeight="1" x14ac:dyDescent="0.2">
      <c r="A950" s="27">
        <v>7</v>
      </c>
      <c r="B950" s="480" t="s">
        <v>1591</v>
      </c>
      <c r="C950" s="476"/>
      <c r="D950" s="476"/>
      <c r="E950" s="23">
        <v>0</v>
      </c>
      <c r="F950" s="23">
        <v>5663856.9400000004</v>
      </c>
      <c r="H950" s="23">
        <v>1113623.3999999999</v>
      </c>
      <c r="J950" s="23">
        <v>4550233.54</v>
      </c>
    </row>
    <row r="951" spans="1:10" ht="15.95" customHeight="1" x14ac:dyDescent="0.2">
      <c r="A951" s="27">
        <v>71</v>
      </c>
      <c r="B951" s="480" t="s">
        <v>1591</v>
      </c>
      <c r="C951" s="476"/>
      <c r="D951" s="476"/>
      <c r="E951" s="23">
        <v>0</v>
      </c>
      <c r="F951" s="23">
        <v>5663856.9400000004</v>
      </c>
      <c r="H951" s="23">
        <v>1113623.3999999999</v>
      </c>
      <c r="J951" s="23">
        <v>4550233.54</v>
      </c>
    </row>
    <row r="952" spans="1:10" ht="15.95" customHeight="1" x14ac:dyDescent="0.2">
      <c r="A952" s="27">
        <v>712</v>
      </c>
      <c r="B952" s="480" t="s">
        <v>1592</v>
      </c>
      <c r="C952" s="476"/>
      <c r="D952" s="476"/>
      <c r="E952" s="23">
        <v>0</v>
      </c>
      <c r="F952" s="23">
        <v>5663856.9400000004</v>
      </c>
      <c r="H952" s="23">
        <v>1113623.3999999999</v>
      </c>
      <c r="J952" s="23">
        <v>4550233.54</v>
      </c>
    </row>
    <row r="953" spans="1:10" ht="15.95" customHeight="1" x14ac:dyDescent="0.2">
      <c r="A953" s="27">
        <v>71201</v>
      </c>
      <c r="B953" s="480" t="s">
        <v>1593</v>
      </c>
      <c r="C953" s="476"/>
      <c r="D953" s="476"/>
      <c r="E953" s="23">
        <v>0</v>
      </c>
      <c r="F953" s="23">
        <v>5663856.9400000004</v>
      </c>
      <c r="H953" s="23">
        <v>1113623.3999999999</v>
      </c>
      <c r="J953" s="23">
        <v>4550233.54</v>
      </c>
    </row>
    <row r="954" spans="1:10" ht="15.95" customHeight="1" x14ac:dyDescent="0.2">
      <c r="A954" s="27">
        <v>7120101</v>
      </c>
      <c r="B954" s="480" t="s">
        <v>1593</v>
      </c>
      <c r="C954" s="476"/>
      <c r="D954" s="476"/>
      <c r="E954" s="23">
        <v>0</v>
      </c>
      <c r="F954" s="23">
        <v>5663856.9400000004</v>
      </c>
      <c r="H954" s="23">
        <v>1113623.3999999999</v>
      </c>
      <c r="J954" s="23">
        <v>4550233.54</v>
      </c>
    </row>
    <row r="955" spans="1:10" ht="15.95" customHeight="1" x14ac:dyDescent="0.2">
      <c r="A955" s="27" t="s">
        <v>1594</v>
      </c>
      <c r="B955" s="480" t="s">
        <v>1595</v>
      </c>
      <c r="C955" s="476"/>
      <c r="D955" s="476"/>
      <c r="E955" s="23">
        <v>0</v>
      </c>
      <c r="F955" s="23">
        <v>5663856.9400000004</v>
      </c>
      <c r="H955" s="23">
        <v>1113623.3999999999</v>
      </c>
      <c r="J955" s="23">
        <v>4550233.54</v>
      </c>
    </row>
    <row r="956" spans="1:10" ht="15.95" customHeight="1" x14ac:dyDescent="0.2">
      <c r="A956" s="27">
        <v>9</v>
      </c>
      <c r="B956" s="480" t="s">
        <v>1419</v>
      </c>
      <c r="C956" s="476"/>
      <c r="D956" s="476"/>
      <c r="E956" s="23">
        <v>0</v>
      </c>
      <c r="F956" s="23">
        <v>0</v>
      </c>
      <c r="H956" s="23">
        <v>16295158.73</v>
      </c>
      <c r="J956" s="23">
        <v>-16295158.73</v>
      </c>
    </row>
    <row r="957" spans="1:10" ht="15.95" customHeight="1" x14ac:dyDescent="0.2">
      <c r="A957" s="27">
        <v>91</v>
      </c>
      <c r="B957" s="480" t="s">
        <v>1420</v>
      </c>
      <c r="C957" s="476"/>
      <c r="D957" s="476"/>
      <c r="E957" s="23">
        <v>0</v>
      </c>
      <c r="F957" s="23">
        <v>0</v>
      </c>
      <c r="H957" s="23">
        <v>16295158.73</v>
      </c>
      <c r="J957" s="23">
        <v>-16295158.73</v>
      </c>
    </row>
    <row r="958" spans="1:10" ht="15.95" customHeight="1" x14ac:dyDescent="0.2">
      <c r="A958" s="27">
        <v>911</v>
      </c>
      <c r="B958" s="480" t="s">
        <v>1421</v>
      </c>
      <c r="C958" s="476"/>
      <c r="D958" s="476"/>
      <c r="E958" s="23">
        <v>0</v>
      </c>
      <c r="F958" s="23">
        <v>0</v>
      </c>
      <c r="H958" s="23">
        <v>16295158.73</v>
      </c>
      <c r="J958" s="23">
        <v>-16295158.73</v>
      </c>
    </row>
    <row r="959" spans="1:10" ht="27.95" customHeight="1" x14ac:dyDescent="0.2">
      <c r="A959" s="27">
        <v>91101</v>
      </c>
      <c r="B959" s="480" t="s">
        <v>1110</v>
      </c>
      <c r="C959" s="476"/>
      <c r="D959" s="476"/>
      <c r="E959" s="23">
        <v>0</v>
      </c>
      <c r="F959" s="23">
        <v>0</v>
      </c>
      <c r="H959" s="23">
        <v>16295158.73</v>
      </c>
      <c r="J959" s="23">
        <v>-16295158.73</v>
      </c>
    </row>
    <row r="960" spans="1:10" ht="15.95" customHeight="1" x14ac:dyDescent="0.2">
      <c r="A960" s="484" t="s">
        <v>1446</v>
      </c>
      <c r="B960" s="476"/>
      <c r="C960" s="476"/>
      <c r="D960" s="96" t="s">
        <v>1742</v>
      </c>
      <c r="J960" s="97" t="s">
        <v>1743</v>
      </c>
    </row>
    <row r="961" spans="1:10" ht="20.100000000000001" customHeight="1" x14ac:dyDescent="0.2">
      <c r="A961" s="93" t="s">
        <v>1424</v>
      </c>
      <c r="J961" s="94" t="s">
        <v>1759</v>
      </c>
    </row>
    <row r="962" spans="1:10" ht="15.95" customHeight="1" x14ac:dyDescent="0.2">
      <c r="A962" s="27" t="s">
        <v>1737</v>
      </c>
      <c r="C962" s="27" t="s">
        <v>0</v>
      </c>
      <c r="J962" s="23" t="s">
        <v>1738</v>
      </c>
    </row>
    <row r="963" spans="1:10" ht="14.1" customHeight="1" x14ac:dyDescent="0.2">
      <c r="A963" s="95" t="s">
        <v>1739</v>
      </c>
      <c r="J963" s="23" t="s">
        <v>1740</v>
      </c>
    </row>
    <row r="964" spans="1:10" ht="15" customHeight="1" x14ac:dyDescent="0.2">
      <c r="A964" s="95" t="s">
        <v>1741</v>
      </c>
    </row>
    <row r="965" spans="1:10" ht="23.1" customHeight="1" x14ac:dyDescent="0.2">
      <c r="A965" s="20" t="s">
        <v>55</v>
      </c>
      <c r="B965" s="20" t="s">
        <v>56</v>
      </c>
      <c r="E965" s="21" t="s">
        <v>57</v>
      </c>
      <c r="F965" s="21" t="s">
        <v>58</v>
      </c>
      <c r="H965" s="21" t="s">
        <v>59</v>
      </c>
      <c r="J965" s="21" t="s">
        <v>60</v>
      </c>
    </row>
    <row r="966" spans="1:10" ht="15.95" customHeight="1" x14ac:dyDescent="0.2">
      <c r="A966" s="27">
        <v>9110101</v>
      </c>
      <c r="B966" s="480" t="s">
        <v>1110</v>
      </c>
      <c r="C966" s="476"/>
      <c r="D966" s="476"/>
      <c r="E966" s="23">
        <v>0</v>
      </c>
      <c r="F966" s="23">
        <v>0</v>
      </c>
      <c r="H966" s="23">
        <v>16295158.73</v>
      </c>
      <c r="J966" s="23">
        <v>-16295158.73</v>
      </c>
    </row>
    <row r="967" spans="1:10" ht="17.100000000000001" customHeight="1" x14ac:dyDescent="0.2">
      <c r="A967" s="27" t="s">
        <v>1422</v>
      </c>
      <c r="B967" s="480" t="s">
        <v>1110</v>
      </c>
      <c r="C967" s="476"/>
      <c r="D967" s="476"/>
      <c r="E967" s="23">
        <v>0</v>
      </c>
      <c r="F967" s="23">
        <v>0</v>
      </c>
      <c r="H967" s="23">
        <v>16295158.73</v>
      </c>
      <c r="J967" s="23">
        <v>-16295158.73</v>
      </c>
    </row>
    <row r="968" spans="1:10" ht="409.6" customHeight="1" x14ac:dyDescent="0.2">
      <c r="E968" s="23">
        <v>0</v>
      </c>
      <c r="F968" s="23">
        <v>279963143.01999998</v>
      </c>
      <c r="H968" s="23">
        <v>279963143.01999998</v>
      </c>
      <c r="J968" s="23">
        <v>0</v>
      </c>
    </row>
    <row r="969" spans="1:10" ht="15.95" customHeight="1" x14ac:dyDescent="0.2">
      <c r="A969" s="484" t="s">
        <v>1446</v>
      </c>
      <c r="B969" s="476"/>
      <c r="C969" s="476"/>
      <c r="D969" s="96" t="s">
        <v>1742</v>
      </c>
      <c r="J969" s="97" t="s">
        <v>1596</v>
      </c>
    </row>
  </sheetData>
  <mergeCells count="883">
    <mergeCell ref="A969:C969"/>
    <mergeCell ref="B957:D957"/>
    <mergeCell ref="B958:D958"/>
    <mergeCell ref="B959:D959"/>
    <mergeCell ref="A960:C960"/>
    <mergeCell ref="B966:D966"/>
    <mergeCell ref="B967:D967"/>
    <mergeCell ref="B951:D951"/>
    <mergeCell ref="B952:D952"/>
    <mergeCell ref="B953:D953"/>
    <mergeCell ref="B954:D954"/>
    <mergeCell ref="B955:D955"/>
    <mergeCell ref="B956:D956"/>
    <mergeCell ref="B945:D945"/>
    <mergeCell ref="B946:D946"/>
    <mergeCell ref="B947:D947"/>
    <mergeCell ref="B948:D948"/>
    <mergeCell ref="B949:D949"/>
    <mergeCell ref="B950:D950"/>
    <mergeCell ref="B939:D939"/>
    <mergeCell ref="B940:D940"/>
    <mergeCell ref="B941:D941"/>
    <mergeCell ref="B942:D942"/>
    <mergeCell ref="B943:D943"/>
    <mergeCell ref="B944:D944"/>
    <mergeCell ref="B933:D933"/>
    <mergeCell ref="B934:D934"/>
    <mergeCell ref="B935:D935"/>
    <mergeCell ref="B936:D936"/>
    <mergeCell ref="B937:D937"/>
    <mergeCell ref="B938:D938"/>
    <mergeCell ref="B927:D927"/>
    <mergeCell ref="B928:D928"/>
    <mergeCell ref="B929:D929"/>
    <mergeCell ref="B930:D930"/>
    <mergeCell ref="B931:D931"/>
    <mergeCell ref="B932:D932"/>
    <mergeCell ref="B921:D921"/>
    <mergeCell ref="B922:D922"/>
    <mergeCell ref="B923:D923"/>
    <mergeCell ref="B924:D924"/>
    <mergeCell ref="B925:D925"/>
    <mergeCell ref="B926:D926"/>
    <mergeCell ref="B915:D915"/>
    <mergeCell ref="B916:D916"/>
    <mergeCell ref="B917:D917"/>
    <mergeCell ref="B918:D918"/>
    <mergeCell ref="B919:D919"/>
    <mergeCell ref="B920:D920"/>
    <mergeCell ref="B909:D909"/>
    <mergeCell ref="B910:D910"/>
    <mergeCell ref="B911:D911"/>
    <mergeCell ref="B912:D912"/>
    <mergeCell ref="B913:D913"/>
    <mergeCell ref="B914:D914"/>
    <mergeCell ref="B898:D898"/>
    <mergeCell ref="B899:D899"/>
    <mergeCell ref="A900:C900"/>
    <mergeCell ref="B906:D906"/>
    <mergeCell ref="B907:D907"/>
    <mergeCell ref="B908:D908"/>
    <mergeCell ref="B892:D892"/>
    <mergeCell ref="B893:D893"/>
    <mergeCell ref="B894:D894"/>
    <mergeCell ref="B895:D895"/>
    <mergeCell ref="B896:D896"/>
    <mergeCell ref="B897:D897"/>
    <mergeCell ref="B886:D886"/>
    <mergeCell ref="B887:D887"/>
    <mergeCell ref="B888:D888"/>
    <mergeCell ref="B889:D889"/>
    <mergeCell ref="B890:D890"/>
    <mergeCell ref="B891:D891"/>
    <mergeCell ref="B880:D880"/>
    <mergeCell ref="B881:D881"/>
    <mergeCell ref="B882:D882"/>
    <mergeCell ref="B883:D883"/>
    <mergeCell ref="B884:D884"/>
    <mergeCell ref="B885:D885"/>
    <mergeCell ref="B874:D874"/>
    <mergeCell ref="B875:D875"/>
    <mergeCell ref="B876:D876"/>
    <mergeCell ref="B877:D877"/>
    <mergeCell ref="B878:D878"/>
    <mergeCell ref="B879:D879"/>
    <mergeCell ref="B868:D868"/>
    <mergeCell ref="B869:D869"/>
    <mergeCell ref="B870:D870"/>
    <mergeCell ref="B871:D871"/>
    <mergeCell ref="B872:D872"/>
    <mergeCell ref="B873:D873"/>
    <mergeCell ref="B862:D862"/>
    <mergeCell ref="B863:D863"/>
    <mergeCell ref="B864:D864"/>
    <mergeCell ref="B865:D865"/>
    <mergeCell ref="B866:D866"/>
    <mergeCell ref="B867:D867"/>
    <mergeCell ref="B856:D856"/>
    <mergeCell ref="B857:D857"/>
    <mergeCell ref="B858:D858"/>
    <mergeCell ref="B859:D859"/>
    <mergeCell ref="B860:D860"/>
    <mergeCell ref="B861:D861"/>
    <mergeCell ref="B850:D850"/>
    <mergeCell ref="B851:D851"/>
    <mergeCell ref="B852:D852"/>
    <mergeCell ref="B853:D853"/>
    <mergeCell ref="B854:D854"/>
    <mergeCell ref="B855:D855"/>
    <mergeCell ref="B839:D839"/>
    <mergeCell ref="A840:C840"/>
    <mergeCell ref="B846:D846"/>
    <mergeCell ref="B847:D847"/>
    <mergeCell ref="B848:D848"/>
    <mergeCell ref="B849:D849"/>
    <mergeCell ref="B833:D833"/>
    <mergeCell ref="B834:D834"/>
    <mergeCell ref="B835:D835"/>
    <mergeCell ref="B836:D836"/>
    <mergeCell ref="B837:D837"/>
    <mergeCell ref="B838:D838"/>
    <mergeCell ref="B827:D827"/>
    <mergeCell ref="B828:D828"/>
    <mergeCell ref="B829:D829"/>
    <mergeCell ref="B830:D830"/>
    <mergeCell ref="B831:D831"/>
    <mergeCell ref="B832:D832"/>
    <mergeCell ref="B821:D821"/>
    <mergeCell ref="B822:D822"/>
    <mergeCell ref="B823:D823"/>
    <mergeCell ref="B824:D824"/>
    <mergeCell ref="B825:D825"/>
    <mergeCell ref="B826:D826"/>
    <mergeCell ref="B815:D815"/>
    <mergeCell ref="B816:D816"/>
    <mergeCell ref="B817:D817"/>
    <mergeCell ref="B818:D818"/>
    <mergeCell ref="B819:D819"/>
    <mergeCell ref="B820:D820"/>
    <mergeCell ref="B809:D809"/>
    <mergeCell ref="B810:D810"/>
    <mergeCell ref="B811:D811"/>
    <mergeCell ref="B812:D812"/>
    <mergeCell ref="B813:D813"/>
    <mergeCell ref="B814:D814"/>
    <mergeCell ref="B803:D803"/>
    <mergeCell ref="B804:D804"/>
    <mergeCell ref="B805:D805"/>
    <mergeCell ref="B806:D806"/>
    <mergeCell ref="B807:D807"/>
    <mergeCell ref="B808:D808"/>
    <mergeCell ref="B797:D797"/>
    <mergeCell ref="B798:D798"/>
    <mergeCell ref="B799:D799"/>
    <mergeCell ref="B800:D800"/>
    <mergeCell ref="B801:D801"/>
    <mergeCell ref="B802:D802"/>
    <mergeCell ref="B791:D791"/>
    <mergeCell ref="B792:D792"/>
    <mergeCell ref="B793:D793"/>
    <mergeCell ref="B794:D794"/>
    <mergeCell ref="B795:D795"/>
    <mergeCell ref="B796:D796"/>
    <mergeCell ref="A780:C780"/>
    <mergeCell ref="B786:D786"/>
    <mergeCell ref="B787:D787"/>
    <mergeCell ref="B788:D788"/>
    <mergeCell ref="B789:D789"/>
    <mergeCell ref="B790:D790"/>
    <mergeCell ref="B774:D774"/>
    <mergeCell ref="B775:D775"/>
    <mergeCell ref="B776:D776"/>
    <mergeCell ref="B777:D777"/>
    <mergeCell ref="B778:D778"/>
    <mergeCell ref="B779:D779"/>
    <mergeCell ref="B768:D768"/>
    <mergeCell ref="B769:D769"/>
    <mergeCell ref="B770:D770"/>
    <mergeCell ref="B771:D771"/>
    <mergeCell ref="B772:D772"/>
    <mergeCell ref="B773:D773"/>
    <mergeCell ref="B762:D762"/>
    <mergeCell ref="B763:D763"/>
    <mergeCell ref="B764:D764"/>
    <mergeCell ref="B765:D765"/>
    <mergeCell ref="B766:D766"/>
    <mergeCell ref="B767:D767"/>
    <mergeCell ref="B756:D756"/>
    <mergeCell ref="B757:D757"/>
    <mergeCell ref="B758:D758"/>
    <mergeCell ref="B759:D759"/>
    <mergeCell ref="B760:D760"/>
    <mergeCell ref="B761:D761"/>
    <mergeCell ref="B750:D750"/>
    <mergeCell ref="B751:D751"/>
    <mergeCell ref="B752:D752"/>
    <mergeCell ref="B753:D753"/>
    <mergeCell ref="B754:D754"/>
    <mergeCell ref="B755:D755"/>
    <mergeCell ref="B744:D744"/>
    <mergeCell ref="B745:D745"/>
    <mergeCell ref="B746:D746"/>
    <mergeCell ref="B747:D747"/>
    <mergeCell ref="B748:D748"/>
    <mergeCell ref="B749:D749"/>
    <mergeCell ref="B738:D738"/>
    <mergeCell ref="B739:D739"/>
    <mergeCell ref="B740:D740"/>
    <mergeCell ref="B741:D741"/>
    <mergeCell ref="B742:D742"/>
    <mergeCell ref="B743:D743"/>
    <mergeCell ref="B732:D732"/>
    <mergeCell ref="B733:D733"/>
    <mergeCell ref="B734:D734"/>
    <mergeCell ref="B735:D735"/>
    <mergeCell ref="B736:D736"/>
    <mergeCell ref="B737:D737"/>
    <mergeCell ref="B726:D726"/>
    <mergeCell ref="B727:D727"/>
    <mergeCell ref="B728:D728"/>
    <mergeCell ref="B729:D729"/>
    <mergeCell ref="B730:D730"/>
    <mergeCell ref="B731:D731"/>
    <mergeCell ref="B715:D715"/>
    <mergeCell ref="B716:D716"/>
    <mergeCell ref="B717:D717"/>
    <mergeCell ref="B718:D718"/>
    <mergeCell ref="B719:D719"/>
    <mergeCell ref="A720:C720"/>
    <mergeCell ref="B709:D709"/>
    <mergeCell ref="B710:D710"/>
    <mergeCell ref="B711:D711"/>
    <mergeCell ref="B712:D712"/>
    <mergeCell ref="B713:D713"/>
    <mergeCell ref="B714:D714"/>
    <mergeCell ref="B703:D703"/>
    <mergeCell ref="B704:D704"/>
    <mergeCell ref="B705:D705"/>
    <mergeCell ref="B706:D706"/>
    <mergeCell ref="B707:D707"/>
    <mergeCell ref="B708:D708"/>
    <mergeCell ref="B697:D697"/>
    <mergeCell ref="B698:D698"/>
    <mergeCell ref="B699:D699"/>
    <mergeCell ref="B700:D700"/>
    <mergeCell ref="B701:D701"/>
    <mergeCell ref="B702:D702"/>
    <mergeCell ref="B691:D691"/>
    <mergeCell ref="B692:D692"/>
    <mergeCell ref="B693:D693"/>
    <mergeCell ref="B694:D694"/>
    <mergeCell ref="B695:D695"/>
    <mergeCell ref="B696:D696"/>
    <mergeCell ref="B685:D685"/>
    <mergeCell ref="B686:D686"/>
    <mergeCell ref="B687:D687"/>
    <mergeCell ref="B688:D688"/>
    <mergeCell ref="B689:D689"/>
    <mergeCell ref="B690:D690"/>
    <mergeCell ref="B679:D679"/>
    <mergeCell ref="B680:D680"/>
    <mergeCell ref="B681:D681"/>
    <mergeCell ref="B682:D682"/>
    <mergeCell ref="B683:D683"/>
    <mergeCell ref="B684:D684"/>
    <mergeCell ref="B673:D673"/>
    <mergeCell ref="B674:D674"/>
    <mergeCell ref="B675:D675"/>
    <mergeCell ref="B676:D676"/>
    <mergeCell ref="B677:D677"/>
    <mergeCell ref="B678:D678"/>
    <mergeCell ref="B667:D667"/>
    <mergeCell ref="B668:D668"/>
    <mergeCell ref="B669:D669"/>
    <mergeCell ref="B670:D670"/>
    <mergeCell ref="B671:D671"/>
    <mergeCell ref="B672:D672"/>
    <mergeCell ref="B656:D656"/>
    <mergeCell ref="B657:D657"/>
    <mergeCell ref="B658:D658"/>
    <mergeCell ref="B659:D659"/>
    <mergeCell ref="A660:C660"/>
    <mergeCell ref="B666:D666"/>
    <mergeCell ref="B650:D650"/>
    <mergeCell ref="B651:D651"/>
    <mergeCell ref="B652:D652"/>
    <mergeCell ref="B653:D653"/>
    <mergeCell ref="B654:D654"/>
    <mergeCell ref="B655:D655"/>
    <mergeCell ref="B644:D644"/>
    <mergeCell ref="B645:D645"/>
    <mergeCell ref="B646:D646"/>
    <mergeCell ref="B647:D647"/>
    <mergeCell ref="B648:D648"/>
    <mergeCell ref="B649:D649"/>
    <mergeCell ref="B638:D638"/>
    <mergeCell ref="B639:D639"/>
    <mergeCell ref="B640:D640"/>
    <mergeCell ref="B641:D641"/>
    <mergeCell ref="B642:D642"/>
    <mergeCell ref="B643:D643"/>
    <mergeCell ref="B632:D632"/>
    <mergeCell ref="B633:D633"/>
    <mergeCell ref="B634:D634"/>
    <mergeCell ref="B635:D635"/>
    <mergeCell ref="B636:D636"/>
    <mergeCell ref="B637:D637"/>
    <mergeCell ref="B626:D626"/>
    <mergeCell ref="B627:D627"/>
    <mergeCell ref="B628:D628"/>
    <mergeCell ref="B629:D629"/>
    <mergeCell ref="B630:D630"/>
    <mergeCell ref="B631:D631"/>
    <mergeCell ref="B620:D620"/>
    <mergeCell ref="B621:D621"/>
    <mergeCell ref="B622:D622"/>
    <mergeCell ref="B623:D623"/>
    <mergeCell ref="B624:D624"/>
    <mergeCell ref="B625:D625"/>
    <mergeCell ref="B614:D614"/>
    <mergeCell ref="B615:D615"/>
    <mergeCell ref="B616:D616"/>
    <mergeCell ref="B617:D617"/>
    <mergeCell ref="B618:D618"/>
    <mergeCell ref="B619:D619"/>
    <mergeCell ref="B608:D608"/>
    <mergeCell ref="B609:D609"/>
    <mergeCell ref="B610:D610"/>
    <mergeCell ref="B611:D611"/>
    <mergeCell ref="B612:D612"/>
    <mergeCell ref="B613:D613"/>
    <mergeCell ref="B597:D597"/>
    <mergeCell ref="B598:D598"/>
    <mergeCell ref="B599:D599"/>
    <mergeCell ref="A600:C600"/>
    <mergeCell ref="B606:D606"/>
    <mergeCell ref="B607:D607"/>
    <mergeCell ref="B591:D591"/>
    <mergeCell ref="B592:D592"/>
    <mergeCell ref="B593:D593"/>
    <mergeCell ref="B594:D594"/>
    <mergeCell ref="B595:D595"/>
    <mergeCell ref="B596:D596"/>
    <mergeCell ref="B585:D585"/>
    <mergeCell ref="B586:D586"/>
    <mergeCell ref="B587:D587"/>
    <mergeCell ref="B588:D588"/>
    <mergeCell ref="B589:D589"/>
    <mergeCell ref="B590:D590"/>
    <mergeCell ref="B579:D579"/>
    <mergeCell ref="B580:D580"/>
    <mergeCell ref="B581:D581"/>
    <mergeCell ref="B582:D582"/>
    <mergeCell ref="B583:D583"/>
    <mergeCell ref="B584:D584"/>
    <mergeCell ref="B573:D573"/>
    <mergeCell ref="B574:D574"/>
    <mergeCell ref="B575:D575"/>
    <mergeCell ref="B576:D576"/>
    <mergeCell ref="B577:D577"/>
    <mergeCell ref="B578:D578"/>
    <mergeCell ref="B567:D567"/>
    <mergeCell ref="B568:D568"/>
    <mergeCell ref="B569:D569"/>
    <mergeCell ref="B570:D570"/>
    <mergeCell ref="B571:D571"/>
    <mergeCell ref="B572:D572"/>
    <mergeCell ref="B561:D561"/>
    <mergeCell ref="B562:D562"/>
    <mergeCell ref="B563:D563"/>
    <mergeCell ref="B564:D564"/>
    <mergeCell ref="B565:D565"/>
    <mergeCell ref="B566:D566"/>
    <mergeCell ref="B555:D555"/>
    <mergeCell ref="B556:D556"/>
    <mergeCell ref="B557:D557"/>
    <mergeCell ref="B558:D558"/>
    <mergeCell ref="B559:D559"/>
    <mergeCell ref="B560:D560"/>
    <mergeCell ref="B549:D549"/>
    <mergeCell ref="B550:D550"/>
    <mergeCell ref="B551:D551"/>
    <mergeCell ref="B552:D552"/>
    <mergeCell ref="B553:D553"/>
    <mergeCell ref="B554:D554"/>
    <mergeCell ref="B538:D538"/>
    <mergeCell ref="B539:D539"/>
    <mergeCell ref="A540:C540"/>
    <mergeCell ref="B546:D546"/>
    <mergeCell ref="B547:D547"/>
    <mergeCell ref="B548:D548"/>
    <mergeCell ref="B532:D532"/>
    <mergeCell ref="B533:D533"/>
    <mergeCell ref="B534:D534"/>
    <mergeCell ref="B535:D535"/>
    <mergeCell ref="B536:D536"/>
    <mergeCell ref="B537:D537"/>
    <mergeCell ref="B526:D526"/>
    <mergeCell ref="B527:D527"/>
    <mergeCell ref="B528:D528"/>
    <mergeCell ref="B529:D529"/>
    <mergeCell ref="B530:D530"/>
    <mergeCell ref="B531:D531"/>
    <mergeCell ref="B520:D520"/>
    <mergeCell ref="B521:D521"/>
    <mergeCell ref="B522:D522"/>
    <mergeCell ref="B523:D523"/>
    <mergeCell ref="B524:D524"/>
    <mergeCell ref="B525:D525"/>
    <mergeCell ref="B514:D514"/>
    <mergeCell ref="B515:D515"/>
    <mergeCell ref="B516:D516"/>
    <mergeCell ref="B517:D517"/>
    <mergeCell ref="B518:D518"/>
    <mergeCell ref="B519:D519"/>
    <mergeCell ref="B508:D508"/>
    <mergeCell ref="B509:D509"/>
    <mergeCell ref="B510:D510"/>
    <mergeCell ref="B511:D511"/>
    <mergeCell ref="B512:D512"/>
    <mergeCell ref="B513:D513"/>
    <mergeCell ref="B502:D502"/>
    <mergeCell ref="B503:D503"/>
    <mergeCell ref="B504:D504"/>
    <mergeCell ref="B505:D505"/>
    <mergeCell ref="B506:D506"/>
    <mergeCell ref="B507:D507"/>
    <mergeCell ref="B496:D496"/>
    <mergeCell ref="B497:D497"/>
    <mergeCell ref="B498:D498"/>
    <mergeCell ref="B499:D499"/>
    <mergeCell ref="B500:D500"/>
    <mergeCell ref="B501:D501"/>
    <mergeCell ref="B490:D490"/>
    <mergeCell ref="B491:D491"/>
    <mergeCell ref="B492:D492"/>
    <mergeCell ref="B493:D493"/>
    <mergeCell ref="B494:D494"/>
    <mergeCell ref="B495:D495"/>
    <mergeCell ref="B479:D479"/>
    <mergeCell ref="A480:C480"/>
    <mergeCell ref="B486:D486"/>
    <mergeCell ref="B487:D487"/>
    <mergeCell ref="B488:D488"/>
    <mergeCell ref="B489:D489"/>
    <mergeCell ref="B473:D473"/>
    <mergeCell ref="B474:D474"/>
    <mergeCell ref="B475:D475"/>
    <mergeCell ref="B476:D476"/>
    <mergeCell ref="B477:D477"/>
    <mergeCell ref="B478:D478"/>
    <mergeCell ref="B467:D467"/>
    <mergeCell ref="B468:D468"/>
    <mergeCell ref="B469:D469"/>
    <mergeCell ref="B470:D470"/>
    <mergeCell ref="B471:D471"/>
    <mergeCell ref="B472:D472"/>
    <mergeCell ref="B461:D461"/>
    <mergeCell ref="B462:D462"/>
    <mergeCell ref="B463:D463"/>
    <mergeCell ref="B464:D464"/>
    <mergeCell ref="B465:D465"/>
    <mergeCell ref="B466:D466"/>
    <mergeCell ref="B455:D455"/>
    <mergeCell ref="B456:D456"/>
    <mergeCell ref="B457:D457"/>
    <mergeCell ref="B458:D458"/>
    <mergeCell ref="B459:D459"/>
    <mergeCell ref="B460:D460"/>
    <mergeCell ref="B449:D449"/>
    <mergeCell ref="B450:D450"/>
    <mergeCell ref="B451:D451"/>
    <mergeCell ref="B452:D452"/>
    <mergeCell ref="B453:D453"/>
    <mergeCell ref="B454:D454"/>
    <mergeCell ref="B443:D443"/>
    <mergeCell ref="B444:D444"/>
    <mergeCell ref="B445:D445"/>
    <mergeCell ref="B446:D446"/>
    <mergeCell ref="B447:D447"/>
    <mergeCell ref="B448:D448"/>
    <mergeCell ref="B437:D437"/>
    <mergeCell ref="B438:D438"/>
    <mergeCell ref="B439:D439"/>
    <mergeCell ref="B440:D440"/>
    <mergeCell ref="B441:D441"/>
    <mergeCell ref="B442:D442"/>
    <mergeCell ref="B431:D431"/>
    <mergeCell ref="B432:D432"/>
    <mergeCell ref="B433:D433"/>
    <mergeCell ref="B434:D434"/>
    <mergeCell ref="B435:D435"/>
    <mergeCell ref="B436:D436"/>
    <mergeCell ref="A420:C420"/>
    <mergeCell ref="B426:D426"/>
    <mergeCell ref="B427:D427"/>
    <mergeCell ref="B428:D428"/>
    <mergeCell ref="B429:D429"/>
    <mergeCell ref="B430:D430"/>
    <mergeCell ref="B414:D414"/>
    <mergeCell ref="B415:D415"/>
    <mergeCell ref="B416:D416"/>
    <mergeCell ref="B417:D417"/>
    <mergeCell ref="B418:D418"/>
    <mergeCell ref="B419:D419"/>
    <mergeCell ref="B408:D408"/>
    <mergeCell ref="B409:D409"/>
    <mergeCell ref="B410:D410"/>
    <mergeCell ref="B411:D411"/>
    <mergeCell ref="B412:D412"/>
    <mergeCell ref="B413:D413"/>
    <mergeCell ref="B402:D402"/>
    <mergeCell ref="B403:D403"/>
    <mergeCell ref="B404:D404"/>
    <mergeCell ref="B405:D405"/>
    <mergeCell ref="B406:D406"/>
    <mergeCell ref="B407:D407"/>
    <mergeCell ref="B396:D396"/>
    <mergeCell ref="B397:D397"/>
    <mergeCell ref="B398:D398"/>
    <mergeCell ref="B399:D399"/>
    <mergeCell ref="B400:D400"/>
    <mergeCell ref="B401:D401"/>
    <mergeCell ref="B390:D390"/>
    <mergeCell ref="B391:D391"/>
    <mergeCell ref="B392:D392"/>
    <mergeCell ref="B393:D393"/>
    <mergeCell ref="B394:D394"/>
    <mergeCell ref="B395:D395"/>
    <mergeCell ref="B384:D384"/>
    <mergeCell ref="B385:D385"/>
    <mergeCell ref="B386:D386"/>
    <mergeCell ref="B387:D387"/>
    <mergeCell ref="B388:D388"/>
    <mergeCell ref="B389:D389"/>
    <mergeCell ref="B378:D378"/>
    <mergeCell ref="B379:D379"/>
    <mergeCell ref="B380:D380"/>
    <mergeCell ref="B381:D381"/>
    <mergeCell ref="B382:D382"/>
    <mergeCell ref="B383:D383"/>
    <mergeCell ref="B372:D372"/>
    <mergeCell ref="B373:D373"/>
    <mergeCell ref="B374:D374"/>
    <mergeCell ref="B375:D375"/>
    <mergeCell ref="B376:D376"/>
    <mergeCell ref="B377:D377"/>
    <mergeCell ref="B366:D366"/>
    <mergeCell ref="B367:D367"/>
    <mergeCell ref="B368:D368"/>
    <mergeCell ref="B369:D369"/>
    <mergeCell ref="B370:D370"/>
    <mergeCell ref="B371:D371"/>
    <mergeCell ref="B355:D355"/>
    <mergeCell ref="B356:D356"/>
    <mergeCell ref="B357:D357"/>
    <mergeCell ref="B358:D358"/>
    <mergeCell ref="B359:D359"/>
    <mergeCell ref="A360:C360"/>
    <mergeCell ref="B349:D349"/>
    <mergeCell ref="B350:D350"/>
    <mergeCell ref="B351:D351"/>
    <mergeCell ref="B352:D352"/>
    <mergeCell ref="B353:D353"/>
    <mergeCell ref="B354:D354"/>
    <mergeCell ref="B343:D343"/>
    <mergeCell ref="B344:D344"/>
    <mergeCell ref="B345:D345"/>
    <mergeCell ref="B346:D346"/>
    <mergeCell ref="B347:D347"/>
    <mergeCell ref="B348:D348"/>
    <mergeCell ref="B337:D337"/>
    <mergeCell ref="B338:D338"/>
    <mergeCell ref="B339:D339"/>
    <mergeCell ref="B340:D340"/>
    <mergeCell ref="B341:D341"/>
    <mergeCell ref="B342:D342"/>
    <mergeCell ref="B331:D331"/>
    <mergeCell ref="B332:D332"/>
    <mergeCell ref="B333:D333"/>
    <mergeCell ref="B334:D334"/>
    <mergeCell ref="B335:D335"/>
    <mergeCell ref="B336:D336"/>
    <mergeCell ref="B325:D325"/>
    <mergeCell ref="B326:D326"/>
    <mergeCell ref="B327:D327"/>
    <mergeCell ref="B328:D328"/>
    <mergeCell ref="B329:D329"/>
    <mergeCell ref="B330:D330"/>
    <mergeCell ref="B319:D319"/>
    <mergeCell ref="B320:D320"/>
    <mergeCell ref="B321:D321"/>
    <mergeCell ref="B322:D322"/>
    <mergeCell ref="B323:D323"/>
    <mergeCell ref="B324:D324"/>
    <mergeCell ref="B313:D313"/>
    <mergeCell ref="B314:D314"/>
    <mergeCell ref="B315:D315"/>
    <mergeCell ref="B316:D316"/>
    <mergeCell ref="B317:D317"/>
    <mergeCell ref="B318:D318"/>
    <mergeCell ref="B307:D307"/>
    <mergeCell ref="B308:D308"/>
    <mergeCell ref="B309:D309"/>
    <mergeCell ref="B310:D310"/>
    <mergeCell ref="B311:D311"/>
    <mergeCell ref="B312:D312"/>
    <mergeCell ref="B296:D296"/>
    <mergeCell ref="B297:D297"/>
    <mergeCell ref="B298:D298"/>
    <mergeCell ref="B299:D299"/>
    <mergeCell ref="A300:C300"/>
    <mergeCell ref="B306:D306"/>
    <mergeCell ref="B290:D290"/>
    <mergeCell ref="B291:D291"/>
    <mergeCell ref="B292:D292"/>
    <mergeCell ref="B293:D293"/>
    <mergeCell ref="B294:D294"/>
    <mergeCell ref="B295:D295"/>
    <mergeCell ref="B284:D284"/>
    <mergeCell ref="B285:D285"/>
    <mergeCell ref="B286:D286"/>
    <mergeCell ref="B287:D287"/>
    <mergeCell ref="B288:D288"/>
    <mergeCell ref="B289:D289"/>
    <mergeCell ref="B278:D278"/>
    <mergeCell ref="B279:D279"/>
    <mergeCell ref="B280:D280"/>
    <mergeCell ref="B281:D281"/>
    <mergeCell ref="B282:D282"/>
    <mergeCell ref="B283:D283"/>
    <mergeCell ref="B272:D272"/>
    <mergeCell ref="B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B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48:D248"/>
    <mergeCell ref="B249:D249"/>
    <mergeCell ref="B250:D250"/>
    <mergeCell ref="B251:D251"/>
    <mergeCell ref="B252:D252"/>
    <mergeCell ref="B253:D253"/>
    <mergeCell ref="B237:D237"/>
    <mergeCell ref="B238:D238"/>
    <mergeCell ref="B239:D239"/>
    <mergeCell ref="A240:C240"/>
    <mergeCell ref="B246:D246"/>
    <mergeCell ref="B247:D247"/>
    <mergeCell ref="B231:D231"/>
    <mergeCell ref="B232:D232"/>
    <mergeCell ref="B233:D233"/>
    <mergeCell ref="B234:D234"/>
    <mergeCell ref="B235:D235"/>
    <mergeCell ref="B236:D236"/>
    <mergeCell ref="B225:D225"/>
    <mergeCell ref="B226:D226"/>
    <mergeCell ref="B227:D227"/>
    <mergeCell ref="B228:D228"/>
    <mergeCell ref="B229:D229"/>
    <mergeCell ref="B230:D230"/>
    <mergeCell ref="B219:D219"/>
    <mergeCell ref="B220:D220"/>
    <mergeCell ref="B221:D221"/>
    <mergeCell ref="B222:D222"/>
    <mergeCell ref="B223:D223"/>
    <mergeCell ref="B224:D224"/>
    <mergeCell ref="B213:D213"/>
    <mergeCell ref="B214:D214"/>
    <mergeCell ref="B215:D215"/>
    <mergeCell ref="B216:D216"/>
    <mergeCell ref="B217:D217"/>
    <mergeCell ref="B218:D218"/>
    <mergeCell ref="B207:D207"/>
    <mergeCell ref="B208:D208"/>
    <mergeCell ref="B209:D209"/>
    <mergeCell ref="B210:D210"/>
    <mergeCell ref="B211:D211"/>
    <mergeCell ref="B212:D212"/>
    <mergeCell ref="B201:D201"/>
    <mergeCell ref="B202:D202"/>
    <mergeCell ref="B203:D203"/>
    <mergeCell ref="B204:D204"/>
    <mergeCell ref="B205:D205"/>
    <mergeCell ref="B206:D206"/>
    <mergeCell ref="B195:D195"/>
    <mergeCell ref="B196:D196"/>
    <mergeCell ref="B197:D197"/>
    <mergeCell ref="B198:D198"/>
    <mergeCell ref="B199:D199"/>
    <mergeCell ref="B200:D200"/>
    <mergeCell ref="B189:D189"/>
    <mergeCell ref="B190:D190"/>
    <mergeCell ref="B191:D191"/>
    <mergeCell ref="B192:D192"/>
    <mergeCell ref="B193:D193"/>
    <mergeCell ref="B194:D194"/>
    <mergeCell ref="B178:D178"/>
    <mergeCell ref="B179:D179"/>
    <mergeCell ref="A180:C180"/>
    <mergeCell ref="B186:D186"/>
    <mergeCell ref="B187:D187"/>
    <mergeCell ref="B188:D188"/>
    <mergeCell ref="B172:D172"/>
    <mergeCell ref="B173:D173"/>
    <mergeCell ref="B174:D174"/>
    <mergeCell ref="B175:D175"/>
    <mergeCell ref="B176:D176"/>
    <mergeCell ref="B177:D177"/>
    <mergeCell ref="B166:D166"/>
    <mergeCell ref="B167:D167"/>
    <mergeCell ref="B168:D168"/>
    <mergeCell ref="B169:D169"/>
    <mergeCell ref="B170:D170"/>
    <mergeCell ref="B171:D171"/>
    <mergeCell ref="B160:D160"/>
    <mergeCell ref="B161:D161"/>
    <mergeCell ref="B162:D162"/>
    <mergeCell ref="B163:D163"/>
    <mergeCell ref="B164:D164"/>
    <mergeCell ref="B165:D165"/>
    <mergeCell ref="B154:D154"/>
    <mergeCell ref="B155:D155"/>
    <mergeCell ref="B156:D156"/>
    <mergeCell ref="B157:D157"/>
    <mergeCell ref="B158:D158"/>
    <mergeCell ref="B159:D159"/>
    <mergeCell ref="B148:D148"/>
    <mergeCell ref="B149:D149"/>
    <mergeCell ref="B150:D150"/>
    <mergeCell ref="B151:D151"/>
    <mergeCell ref="B152:D152"/>
    <mergeCell ref="B153:D153"/>
    <mergeCell ref="B142:D142"/>
    <mergeCell ref="B143:D143"/>
    <mergeCell ref="B144:D144"/>
    <mergeCell ref="B145:D145"/>
    <mergeCell ref="B146:D146"/>
    <mergeCell ref="B147:D147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B119:D119"/>
    <mergeCell ref="A120:C120"/>
    <mergeCell ref="B126:D126"/>
    <mergeCell ref="B127:D127"/>
    <mergeCell ref="B128:D128"/>
    <mergeCell ref="B129:D129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A60:C60"/>
    <mergeCell ref="B66:D66"/>
    <mergeCell ref="B67:D67"/>
    <mergeCell ref="B68:D68"/>
    <mergeCell ref="B69:D69"/>
    <mergeCell ref="B70:D70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8:D18"/>
    <mergeCell ref="B19:D19"/>
    <mergeCell ref="B20:D20"/>
  </mergeCells>
  <pageMargins left="0.75" right="0.75" top="1" bottom="1" header="0.5" footer="0.5"/>
  <pageSetup paperSize="0" fitToWidth="0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8"/>
  <sheetViews>
    <sheetView showGridLines="0" topLeftCell="A65" zoomScaleNormal="100" workbookViewId="0">
      <selection activeCell="R23" sqref="R23"/>
    </sheetView>
  </sheetViews>
  <sheetFormatPr defaultRowHeight="12.75" x14ac:dyDescent="0.2"/>
  <cols>
    <col min="1" max="1" width="50.7109375" style="164" customWidth="1"/>
    <col min="2" max="3" width="2.7109375" style="164" customWidth="1"/>
    <col min="4" max="5" width="3.140625" style="164" customWidth="1"/>
    <col min="6" max="6" width="11.85546875" style="164" customWidth="1"/>
    <col min="7" max="8" width="2.7109375" style="164" customWidth="1"/>
    <col min="9" max="9" width="12.7109375" style="164" customWidth="1"/>
    <col min="10" max="11" width="2.7109375" style="164" customWidth="1"/>
    <col min="12" max="12" width="13.42578125" style="164" customWidth="1"/>
    <col min="13" max="14" width="2.7109375" style="164" customWidth="1"/>
    <col min="15" max="15" width="12.7109375" style="164" customWidth="1"/>
    <col min="16" max="16" width="15" style="164" bestFit="1" customWidth="1"/>
    <col min="17" max="17" width="10.28515625" style="164" bestFit="1" customWidth="1"/>
    <col min="18" max="19" width="12.85546875" style="164" bestFit="1" customWidth="1"/>
    <col min="20" max="20" width="9.140625" style="164"/>
    <col min="21" max="21" width="14" style="164" bestFit="1" customWidth="1"/>
    <col min="22" max="238" width="9.140625" style="164"/>
    <col min="239" max="239" width="56.42578125" style="164" bestFit="1" customWidth="1"/>
    <col min="240" max="240" width="12.7109375" style="164" bestFit="1" customWidth="1"/>
    <col min="241" max="241" width="2.7109375" style="164" customWidth="1"/>
    <col min="242" max="242" width="12.7109375" style="164" bestFit="1" customWidth="1"/>
    <col min="243" max="243" width="2.7109375" style="164" customWidth="1"/>
    <col min="244" max="244" width="9.140625" style="164"/>
    <col min="245" max="245" width="12.5703125" style="164" bestFit="1" customWidth="1"/>
    <col min="246" max="494" width="9.140625" style="164"/>
    <col min="495" max="495" width="56.42578125" style="164" bestFit="1" customWidth="1"/>
    <col min="496" max="496" width="12.7109375" style="164" bestFit="1" customWidth="1"/>
    <col min="497" max="497" width="2.7109375" style="164" customWidth="1"/>
    <col min="498" max="498" width="12.7109375" style="164" bestFit="1" customWidth="1"/>
    <col min="499" max="499" width="2.7109375" style="164" customWidth="1"/>
    <col min="500" max="500" width="9.140625" style="164"/>
    <col min="501" max="501" width="12.5703125" style="164" bestFit="1" customWidth="1"/>
    <col min="502" max="750" width="9.140625" style="164"/>
    <col min="751" max="751" width="56.42578125" style="164" bestFit="1" customWidth="1"/>
    <col min="752" max="752" width="12.7109375" style="164" bestFit="1" customWidth="1"/>
    <col min="753" max="753" width="2.7109375" style="164" customWidth="1"/>
    <col min="754" max="754" width="12.7109375" style="164" bestFit="1" customWidth="1"/>
    <col min="755" max="755" width="2.7109375" style="164" customWidth="1"/>
    <col min="756" max="756" width="9.140625" style="164"/>
    <col min="757" max="757" width="12.5703125" style="164" bestFit="1" customWidth="1"/>
    <col min="758" max="1006" width="9.140625" style="164"/>
    <col min="1007" max="1007" width="56.42578125" style="164" bestFit="1" customWidth="1"/>
    <col min="1008" max="1008" width="12.7109375" style="164" bestFit="1" customWidth="1"/>
    <col min="1009" max="1009" width="2.7109375" style="164" customWidth="1"/>
    <col min="1010" max="1010" width="12.7109375" style="164" bestFit="1" customWidth="1"/>
    <col min="1011" max="1011" width="2.7109375" style="164" customWidth="1"/>
    <col min="1012" max="1012" width="9.140625" style="164"/>
    <col min="1013" max="1013" width="12.5703125" style="164" bestFit="1" customWidth="1"/>
    <col min="1014" max="1262" width="9.140625" style="164"/>
    <col min="1263" max="1263" width="56.42578125" style="164" bestFit="1" customWidth="1"/>
    <col min="1264" max="1264" width="12.7109375" style="164" bestFit="1" customWidth="1"/>
    <col min="1265" max="1265" width="2.7109375" style="164" customWidth="1"/>
    <col min="1266" max="1266" width="12.7109375" style="164" bestFit="1" customWidth="1"/>
    <col min="1267" max="1267" width="2.7109375" style="164" customWidth="1"/>
    <col min="1268" max="1268" width="9.140625" style="164"/>
    <col min="1269" max="1269" width="12.5703125" style="164" bestFit="1" customWidth="1"/>
    <col min="1270" max="1518" width="9.140625" style="164"/>
    <col min="1519" max="1519" width="56.42578125" style="164" bestFit="1" customWidth="1"/>
    <col min="1520" max="1520" width="12.7109375" style="164" bestFit="1" customWidth="1"/>
    <col min="1521" max="1521" width="2.7109375" style="164" customWidth="1"/>
    <col min="1522" max="1522" width="12.7109375" style="164" bestFit="1" customWidth="1"/>
    <col min="1523" max="1523" width="2.7109375" style="164" customWidth="1"/>
    <col min="1524" max="1524" width="9.140625" style="164"/>
    <col min="1525" max="1525" width="12.5703125" style="164" bestFit="1" customWidth="1"/>
    <col min="1526" max="1774" width="9.140625" style="164"/>
    <col min="1775" max="1775" width="56.42578125" style="164" bestFit="1" customWidth="1"/>
    <col min="1776" max="1776" width="12.7109375" style="164" bestFit="1" customWidth="1"/>
    <col min="1777" max="1777" width="2.7109375" style="164" customWidth="1"/>
    <col min="1778" max="1778" width="12.7109375" style="164" bestFit="1" customWidth="1"/>
    <col min="1779" max="1779" width="2.7109375" style="164" customWidth="1"/>
    <col min="1780" max="1780" width="9.140625" style="164"/>
    <col min="1781" max="1781" width="12.5703125" style="164" bestFit="1" customWidth="1"/>
    <col min="1782" max="2030" width="9.140625" style="164"/>
    <col min="2031" max="2031" width="56.42578125" style="164" bestFit="1" customWidth="1"/>
    <col min="2032" max="2032" width="12.7109375" style="164" bestFit="1" customWidth="1"/>
    <col min="2033" max="2033" width="2.7109375" style="164" customWidth="1"/>
    <col min="2034" max="2034" width="12.7109375" style="164" bestFit="1" customWidth="1"/>
    <col min="2035" max="2035" width="2.7109375" style="164" customWidth="1"/>
    <col min="2036" max="2036" width="9.140625" style="164"/>
    <col min="2037" max="2037" width="12.5703125" style="164" bestFit="1" customWidth="1"/>
    <col min="2038" max="2286" width="9.140625" style="164"/>
    <col min="2287" max="2287" width="56.42578125" style="164" bestFit="1" customWidth="1"/>
    <col min="2288" max="2288" width="12.7109375" style="164" bestFit="1" customWidth="1"/>
    <col min="2289" max="2289" width="2.7109375" style="164" customWidth="1"/>
    <col min="2290" max="2290" width="12.7109375" style="164" bestFit="1" customWidth="1"/>
    <col min="2291" max="2291" width="2.7109375" style="164" customWidth="1"/>
    <col min="2292" max="2292" width="9.140625" style="164"/>
    <col min="2293" max="2293" width="12.5703125" style="164" bestFit="1" customWidth="1"/>
    <col min="2294" max="2542" width="9.140625" style="164"/>
    <col min="2543" max="2543" width="56.42578125" style="164" bestFit="1" customWidth="1"/>
    <col min="2544" max="2544" width="12.7109375" style="164" bestFit="1" customWidth="1"/>
    <col min="2545" max="2545" width="2.7109375" style="164" customWidth="1"/>
    <col min="2546" max="2546" width="12.7109375" style="164" bestFit="1" customWidth="1"/>
    <col min="2547" max="2547" width="2.7109375" style="164" customWidth="1"/>
    <col min="2548" max="2548" width="9.140625" style="164"/>
    <col min="2549" max="2549" width="12.5703125" style="164" bestFit="1" customWidth="1"/>
    <col min="2550" max="2798" width="9.140625" style="164"/>
    <col min="2799" max="2799" width="56.42578125" style="164" bestFit="1" customWidth="1"/>
    <col min="2800" max="2800" width="12.7109375" style="164" bestFit="1" customWidth="1"/>
    <col min="2801" max="2801" width="2.7109375" style="164" customWidth="1"/>
    <col min="2802" max="2802" width="12.7109375" style="164" bestFit="1" customWidth="1"/>
    <col min="2803" max="2803" width="2.7109375" style="164" customWidth="1"/>
    <col min="2804" max="2804" width="9.140625" style="164"/>
    <col min="2805" max="2805" width="12.5703125" style="164" bestFit="1" customWidth="1"/>
    <col min="2806" max="3054" width="9.140625" style="164"/>
    <col min="3055" max="3055" width="56.42578125" style="164" bestFit="1" customWidth="1"/>
    <col min="3056" max="3056" width="12.7109375" style="164" bestFit="1" customWidth="1"/>
    <col min="3057" max="3057" width="2.7109375" style="164" customWidth="1"/>
    <col min="3058" max="3058" width="12.7109375" style="164" bestFit="1" customWidth="1"/>
    <col min="3059" max="3059" width="2.7109375" style="164" customWidth="1"/>
    <col min="3060" max="3060" width="9.140625" style="164"/>
    <col min="3061" max="3061" width="12.5703125" style="164" bestFit="1" customWidth="1"/>
    <col min="3062" max="3310" width="9.140625" style="164"/>
    <col min="3311" max="3311" width="56.42578125" style="164" bestFit="1" customWidth="1"/>
    <col min="3312" max="3312" width="12.7109375" style="164" bestFit="1" customWidth="1"/>
    <col min="3313" max="3313" width="2.7109375" style="164" customWidth="1"/>
    <col min="3314" max="3314" width="12.7109375" style="164" bestFit="1" customWidth="1"/>
    <col min="3315" max="3315" width="2.7109375" style="164" customWidth="1"/>
    <col min="3316" max="3316" width="9.140625" style="164"/>
    <col min="3317" max="3317" width="12.5703125" style="164" bestFit="1" customWidth="1"/>
    <col min="3318" max="3566" width="9.140625" style="164"/>
    <col min="3567" max="3567" width="56.42578125" style="164" bestFit="1" customWidth="1"/>
    <col min="3568" max="3568" width="12.7109375" style="164" bestFit="1" customWidth="1"/>
    <col min="3569" max="3569" width="2.7109375" style="164" customWidth="1"/>
    <col min="3570" max="3570" width="12.7109375" style="164" bestFit="1" customWidth="1"/>
    <col min="3571" max="3571" width="2.7109375" style="164" customWidth="1"/>
    <col min="3572" max="3572" width="9.140625" style="164"/>
    <col min="3573" max="3573" width="12.5703125" style="164" bestFit="1" customWidth="1"/>
    <col min="3574" max="3822" width="9.140625" style="164"/>
    <col min="3823" max="3823" width="56.42578125" style="164" bestFit="1" customWidth="1"/>
    <col min="3824" max="3824" width="12.7109375" style="164" bestFit="1" customWidth="1"/>
    <col min="3825" max="3825" width="2.7109375" style="164" customWidth="1"/>
    <col min="3826" max="3826" width="12.7109375" style="164" bestFit="1" customWidth="1"/>
    <col min="3827" max="3827" width="2.7109375" style="164" customWidth="1"/>
    <col min="3828" max="3828" width="9.140625" style="164"/>
    <col min="3829" max="3829" width="12.5703125" style="164" bestFit="1" customWidth="1"/>
    <col min="3830" max="4078" width="9.140625" style="164"/>
    <col min="4079" max="4079" width="56.42578125" style="164" bestFit="1" customWidth="1"/>
    <col min="4080" max="4080" width="12.7109375" style="164" bestFit="1" customWidth="1"/>
    <col min="4081" max="4081" width="2.7109375" style="164" customWidth="1"/>
    <col min="4082" max="4082" width="12.7109375" style="164" bestFit="1" customWidth="1"/>
    <col min="4083" max="4083" width="2.7109375" style="164" customWidth="1"/>
    <col min="4084" max="4084" width="9.140625" style="164"/>
    <col min="4085" max="4085" width="12.5703125" style="164" bestFit="1" customWidth="1"/>
    <col min="4086" max="4334" width="9.140625" style="164"/>
    <col min="4335" max="4335" width="56.42578125" style="164" bestFit="1" customWidth="1"/>
    <col min="4336" max="4336" width="12.7109375" style="164" bestFit="1" customWidth="1"/>
    <col min="4337" max="4337" width="2.7109375" style="164" customWidth="1"/>
    <col min="4338" max="4338" width="12.7109375" style="164" bestFit="1" customWidth="1"/>
    <col min="4339" max="4339" width="2.7109375" style="164" customWidth="1"/>
    <col min="4340" max="4340" width="9.140625" style="164"/>
    <col min="4341" max="4341" width="12.5703125" style="164" bestFit="1" customWidth="1"/>
    <col min="4342" max="4590" width="9.140625" style="164"/>
    <col min="4591" max="4591" width="56.42578125" style="164" bestFit="1" customWidth="1"/>
    <col min="4592" max="4592" width="12.7109375" style="164" bestFit="1" customWidth="1"/>
    <col min="4593" max="4593" width="2.7109375" style="164" customWidth="1"/>
    <col min="4594" max="4594" width="12.7109375" style="164" bestFit="1" customWidth="1"/>
    <col min="4595" max="4595" width="2.7109375" style="164" customWidth="1"/>
    <col min="4596" max="4596" width="9.140625" style="164"/>
    <col min="4597" max="4597" width="12.5703125" style="164" bestFit="1" customWidth="1"/>
    <col min="4598" max="4846" width="9.140625" style="164"/>
    <col min="4847" max="4847" width="56.42578125" style="164" bestFit="1" customWidth="1"/>
    <col min="4848" max="4848" width="12.7109375" style="164" bestFit="1" customWidth="1"/>
    <col min="4849" max="4849" width="2.7109375" style="164" customWidth="1"/>
    <col min="4850" max="4850" width="12.7109375" style="164" bestFit="1" customWidth="1"/>
    <col min="4851" max="4851" width="2.7109375" style="164" customWidth="1"/>
    <col min="4852" max="4852" width="9.140625" style="164"/>
    <col min="4853" max="4853" width="12.5703125" style="164" bestFit="1" customWidth="1"/>
    <col min="4854" max="5102" width="9.140625" style="164"/>
    <col min="5103" max="5103" width="56.42578125" style="164" bestFit="1" customWidth="1"/>
    <col min="5104" max="5104" width="12.7109375" style="164" bestFit="1" customWidth="1"/>
    <col min="5105" max="5105" width="2.7109375" style="164" customWidth="1"/>
    <col min="5106" max="5106" width="12.7109375" style="164" bestFit="1" customWidth="1"/>
    <col min="5107" max="5107" width="2.7109375" style="164" customWidth="1"/>
    <col min="5108" max="5108" width="9.140625" style="164"/>
    <col min="5109" max="5109" width="12.5703125" style="164" bestFit="1" customWidth="1"/>
    <col min="5110" max="5358" width="9.140625" style="164"/>
    <col min="5359" max="5359" width="56.42578125" style="164" bestFit="1" customWidth="1"/>
    <col min="5360" max="5360" width="12.7109375" style="164" bestFit="1" customWidth="1"/>
    <col min="5361" max="5361" width="2.7109375" style="164" customWidth="1"/>
    <col min="5362" max="5362" width="12.7109375" style="164" bestFit="1" customWidth="1"/>
    <col min="5363" max="5363" width="2.7109375" style="164" customWidth="1"/>
    <col min="5364" max="5364" width="9.140625" style="164"/>
    <col min="5365" max="5365" width="12.5703125" style="164" bestFit="1" customWidth="1"/>
    <col min="5366" max="5614" width="9.140625" style="164"/>
    <col min="5615" max="5615" width="56.42578125" style="164" bestFit="1" customWidth="1"/>
    <col min="5616" max="5616" width="12.7109375" style="164" bestFit="1" customWidth="1"/>
    <col min="5617" max="5617" width="2.7109375" style="164" customWidth="1"/>
    <col min="5618" max="5618" width="12.7109375" style="164" bestFit="1" customWidth="1"/>
    <col min="5619" max="5619" width="2.7109375" style="164" customWidth="1"/>
    <col min="5620" max="5620" width="9.140625" style="164"/>
    <col min="5621" max="5621" width="12.5703125" style="164" bestFit="1" customWidth="1"/>
    <col min="5622" max="5870" width="9.140625" style="164"/>
    <col min="5871" max="5871" width="56.42578125" style="164" bestFit="1" customWidth="1"/>
    <col min="5872" max="5872" width="12.7109375" style="164" bestFit="1" customWidth="1"/>
    <col min="5873" max="5873" width="2.7109375" style="164" customWidth="1"/>
    <col min="5874" max="5874" width="12.7109375" style="164" bestFit="1" customWidth="1"/>
    <col min="5875" max="5875" width="2.7109375" style="164" customWidth="1"/>
    <col min="5876" max="5876" width="9.140625" style="164"/>
    <col min="5877" max="5877" width="12.5703125" style="164" bestFit="1" customWidth="1"/>
    <col min="5878" max="6126" width="9.140625" style="164"/>
    <col min="6127" max="6127" width="56.42578125" style="164" bestFit="1" customWidth="1"/>
    <col min="6128" max="6128" width="12.7109375" style="164" bestFit="1" customWidth="1"/>
    <col min="6129" max="6129" width="2.7109375" style="164" customWidth="1"/>
    <col min="6130" max="6130" width="12.7109375" style="164" bestFit="1" customWidth="1"/>
    <col min="6131" max="6131" width="2.7109375" style="164" customWidth="1"/>
    <col min="6132" max="6132" width="9.140625" style="164"/>
    <col min="6133" max="6133" width="12.5703125" style="164" bestFit="1" customWidth="1"/>
    <col min="6134" max="6382" width="9.140625" style="164"/>
    <col min="6383" max="6383" width="56.42578125" style="164" bestFit="1" customWidth="1"/>
    <col min="6384" max="6384" width="12.7109375" style="164" bestFit="1" customWidth="1"/>
    <col min="6385" max="6385" width="2.7109375" style="164" customWidth="1"/>
    <col min="6386" max="6386" width="12.7109375" style="164" bestFit="1" customWidth="1"/>
    <col min="6387" max="6387" width="2.7109375" style="164" customWidth="1"/>
    <col min="6388" max="6388" width="9.140625" style="164"/>
    <col min="6389" max="6389" width="12.5703125" style="164" bestFit="1" customWidth="1"/>
    <col min="6390" max="6638" width="9.140625" style="164"/>
    <col min="6639" max="6639" width="56.42578125" style="164" bestFit="1" customWidth="1"/>
    <col min="6640" max="6640" width="12.7109375" style="164" bestFit="1" customWidth="1"/>
    <col min="6641" max="6641" width="2.7109375" style="164" customWidth="1"/>
    <col min="6642" max="6642" width="12.7109375" style="164" bestFit="1" customWidth="1"/>
    <col min="6643" max="6643" width="2.7109375" style="164" customWidth="1"/>
    <col min="6644" max="6644" width="9.140625" style="164"/>
    <col min="6645" max="6645" width="12.5703125" style="164" bestFit="1" customWidth="1"/>
    <col min="6646" max="6894" width="9.140625" style="164"/>
    <col min="6895" max="6895" width="56.42578125" style="164" bestFit="1" customWidth="1"/>
    <col min="6896" max="6896" width="12.7109375" style="164" bestFit="1" customWidth="1"/>
    <col min="6897" max="6897" width="2.7109375" style="164" customWidth="1"/>
    <col min="6898" max="6898" width="12.7109375" style="164" bestFit="1" customWidth="1"/>
    <col min="6899" max="6899" width="2.7109375" style="164" customWidth="1"/>
    <col min="6900" max="6900" width="9.140625" style="164"/>
    <col min="6901" max="6901" width="12.5703125" style="164" bestFit="1" customWidth="1"/>
    <col min="6902" max="7150" width="9.140625" style="164"/>
    <col min="7151" max="7151" width="56.42578125" style="164" bestFit="1" customWidth="1"/>
    <col min="7152" max="7152" width="12.7109375" style="164" bestFit="1" customWidth="1"/>
    <col min="7153" max="7153" width="2.7109375" style="164" customWidth="1"/>
    <col min="7154" max="7154" width="12.7109375" style="164" bestFit="1" customWidth="1"/>
    <col min="7155" max="7155" width="2.7109375" style="164" customWidth="1"/>
    <col min="7156" max="7156" width="9.140625" style="164"/>
    <col min="7157" max="7157" width="12.5703125" style="164" bestFit="1" customWidth="1"/>
    <col min="7158" max="7406" width="9.140625" style="164"/>
    <col min="7407" max="7407" width="56.42578125" style="164" bestFit="1" customWidth="1"/>
    <col min="7408" max="7408" width="12.7109375" style="164" bestFit="1" customWidth="1"/>
    <col min="7409" max="7409" width="2.7109375" style="164" customWidth="1"/>
    <col min="7410" max="7410" width="12.7109375" style="164" bestFit="1" customWidth="1"/>
    <col min="7411" max="7411" width="2.7109375" style="164" customWidth="1"/>
    <col min="7412" max="7412" width="9.140625" style="164"/>
    <col min="7413" max="7413" width="12.5703125" style="164" bestFit="1" customWidth="1"/>
    <col min="7414" max="7662" width="9.140625" style="164"/>
    <col min="7663" max="7663" width="56.42578125" style="164" bestFit="1" customWidth="1"/>
    <col min="7664" max="7664" width="12.7109375" style="164" bestFit="1" customWidth="1"/>
    <col min="7665" max="7665" width="2.7109375" style="164" customWidth="1"/>
    <col min="7666" max="7666" width="12.7109375" style="164" bestFit="1" customWidth="1"/>
    <col min="7667" max="7667" width="2.7109375" style="164" customWidth="1"/>
    <col min="7668" max="7668" width="9.140625" style="164"/>
    <col min="7669" max="7669" width="12.5703125" style="164" bestFit="1" customWidth="1"/>
    <col min="7670" max="7918" width="9.140625" style="164"/>
    <col min="7919" max="7919" width="56.42578125" style="164" bestFit="1" customWidth="1"/>
    <col min="7920" max="7920" width="12.7109375" style="164" bestFit="1" customWidth="1"/>
    <col min="7921" max="7921" width="2.7109375" style="164" customWidth="1"/>
    <col min="7922" max="7922" width="12.7109375" style="164" bestFit="1" customWidth="1"/>
    <col min="7923" max="7923" width="2.7109375" style="164" customWidth="1"/>
    <col min="7924" max="7924" width="9.140625" style="164"/>
    <col min="7925" max="7925" width="12.5703125" style="164" bestFit="1" customWidth="1"/>
    <col min="7926" max="8174" width="9.140625" style="164"/>
    <col min="8175" max="8175" width="56.42578125" style="164" bestFit="1" customWidth="1"/>
    <col min="8176" max="8176" width="12.7109375" style="164" bestFit="1" customWidth="1"/>
    <col min="8177" max="8177" width="2.7109375" style="164" customWidth="1"/>
    <col min="8178" max="8178" width="12.7109375" style="164" bestFit="1" customWidth="1"/>
    <col min="8179" max="8179" width="2.7109375" style="164" customWidth="1"/>
    <col min="8180" max="8180" width="9.140625" style="164"/>
    <col min="8181" max="8181" width="12.5703125" style="164" bestFit="1" customWidth="1"/>
    <col min="8182" max="8430" width="9.140625" style="164"/>
    <col min="8431" max="8431" width="56.42578125" style="164" bestFit="1" customWidth="1"/>
    <col min="8432" max="8432" width="12.7109375" style="164" bestFit="1" customWidth="1"/>
    <col min="8433" max="8433" width="2.7109375" style="164" customWidth="1"/>
    <col min="8434" max="8434" width="12.7109375" style="164" bestFit="1" customWidth="1"/>
    <col min="8435" max="8435" width="2.7109375" style="164" customWidth="1"/>
    <col min="8436" max="8436" width="9.140625" style="164"/>
    <col min="8437" max="8437" width="12.5703125" style="164" bestFit="1" customWidth="1"/>
    <col min="8438" max="8686" width="9.140625" style="164"/>
    <col min="8687" max="8687" width="56.42578125" style="164" bestFit="1" customWidth="1"/>
    <col min="8688" max="8688" width="12.7109375" style="164" bestFit="1" customWidth="1"/>
    <col min="8689" max="8689" width="2.7109375" style="164" customWidth="1"/>
    <col min="8690" max="8690" width="12.7109375" style="164" bestFit="1" customWidth="1"/>
    <col min="8691" max="8691" width="2.7109375" style="164" customWidth="1"/>
    <col min="8692" max="8692" width="9.140625" style="164"/>
    <col min="8693" max="8693" width="12.5703125" style="164" bestFit="1" customWidth="1"/>
    <col min="8694" max="8942" width="9.140625" style="164"/>
    <col min="8943" max="8943" width="56.42578125" style="164" bestFit="1" customWidth="1"/>
    <col min="8944" max="8944" width="12.7109375" style="164" bestFit="1" customWidth="1"/>
    <col min="8945" max="8945" width="2.7109375" style="164" customWidth="1"/>
    <col min="8946" max="8946" width="12.7109375" style="164" bestFit="1" customWidth="1"/>
    <col min="8947" max="8947" width="2.7109375" style="164" customWidth="1"/>
    <col min="8948" max="8948" width="9.140625" style="164"/>
    <col min="8949" max="8949" width="12.5703125" style="164" bestFit="1" customWidth="1"/>
    <col min="8950" max="9198" width="9.140625" style="164"/>
    <col min="9199" max="9199" width="56.42578125" style="164" bestFit="1" customWidth="1"/>
    <col min="9200" max="9200" width="12.7109375" style="164" bestFit="1" customWidth="1"/>
    <col min="9201" max="9201" width="2.7109375" style="164" customWidth="1"/>
    <col min="9202" max="9202" width="12.7109375" style="164" bestFit="1" customWidth="1"/>
    <col min="9203" max="9203" width="2.7109375" style="164" customWidth="1"/>
    <col min="9204" max="9204" width="9.140625" style="164"/>
    <col min="9205" max="9205" width="12.5703125" style="164" bestFit="1" customWidth="1"/>
    <col min="9206" max="9454" width="9.140625" style="164"/>
    <col min="9455" max="9455" width="56.42578125" style="164" bestFit="1" customWidth="1"/>
    <col min="9456" max="9456" width="12.7109375" style="164" bestFit="1" customWidth="1"/>
    <col min="9457" max="9457" width="2.7109375" style="164" customWidth="1"/>
    <col min="9458" max="9458" width="12.7109375" style="164" bestFit="1" customWidth="1"/>
    <col min="9459" max="9459" width="2.7109375" style="164" customWidth="1"/>
    <col min="9460" max="9460" width="9.140625" style="164"/>
    <col min="9461" max="9461" width="12.5703125" style="164" bestFit="1" customWidth="1"/>
    <col min="9462" max="9710" width="9.140625" style="164"/>
    <col min="9711" max="9711" width="56.42578125" style="164" bestFit="1" customWidth="1"/>
    <col min="9712" max="9712" width="12.7109375" style="164" bestFit="1" customWidth="1"/>
    <col min="9713" max="9713" width="2.7109375" style="164" customWidth="1"/>
    <col min="9714" max="9714" width="12.7109375" style="164" bestFit="1" customWidth="1"/>
    <col min="9715" max="9715" width="2.7109375" style="164" customWidth="1"/>
    <col min="9716" max="9716" width="9.140625" style="164"/>
    <col min="9717" max="9717" width="12.5703125" style="164" bestFit="1" customWidth="1"/>
    <col min="9718" max="9966" width="9.140625" style="164"/>
    <col min="9967" max="9967" width="56.42578125" style="164" bestFit="1" customWidth="1"/>
    <col min="9968" max="9968" width="12.7109375" style="164" bestFit="1" customWidth="1"/>
    <col min="9969" max="9969" width="2.7109375" style="164" customWidth="1"/>
    <col min="9970" max="9970" width="12.7109375" style="164" bestFit="1" customWidth="1"/>
    <col min="9971" max="9971" width="2.7109375" style="164" customWidth="1"/>
    <col min="9972" max="9972" width="9.140625" style="164"/>
    <col min="9973" max="9973" width="12.5703125" style="164" bestFit="1" customWidth="1"/>
    <col min="9974" max="10222" width="9.140625" style="164"/>
    <col min="10223" max="10223" width="56.42578125" style="164" bestFit="1" customWidth="1"/>
    <col min="10224" max="10224" width="12.7109375" style="164" bestFit="1" customWidth="1"/>
    <col min="10225" max="10225" width="2.7109375" style="164" customWidth="1"/>
    <col min="10226" max="10226" width="12.7109375" style="164" bestFit="1" customWidth="1"/>
    <col min="10227" max="10227" width="2.7109375" style="164" customWidth="1"/>
    <col min="10228" max="10228" width="9.140625" style="164"/>
    <col min="10229" max="10229" width="12.5703125" style="164" bestFit="1" customWidth="1"/>
    <col min="10230" max="10478" width="9.140625" style="164"/>
    <col min="10479" max="10479" width="56.42578125" style="164" bestFit="1" customWidth="1"/>
    <col min="10480" max="10480" width="12.7109375" style="164" bestFit="1" customWidth="1"/>
    <col min="10481" max="10481" width="2.7109375" style="164" customWidth="1"/>
    <col min="10482" max="10482" width="12.7109375" style="164" bestFit="1" customWidth="1"/>
    <col min="10483" max="10483" width="2.7109375" style="164" customWidth="1"/>
    <col min="10484" max="10484" width="9.140625" style="164"/>
    <col min="10485" max="10485" width="12.5703125" style="164" bestFit="1" customWidth="1"/>
    <col min="10486" max="10734" width="9.140625" style="164"/>
    <col min="10735" max="10735" width="56.42578125" style="164" bestFit="1" customWidth="1"/>
    <col min="10736" max="10736" width="12.7109375" style="164" bestFit="1" customWidth="1"/>
    <col min="10737" max="10737" width="2.7109375" style="164" customWidth="1"/>
    <col min="10738" max="10738" width="12.7109375" style="164" bestFit="1" customWidth="1"/>
    <col min="10739" max="10739" width="2.7109375" style="164" customWidth="1"/>
    <col min="10740" max="10740" width="9.140625" style="164"/>
    <col min="10741" max="10741" width="12.5703125" style="164" bestFit="1" customWidth="1"/>
    <col min="10742" max="10990" width="9.140625" style="164"/>
    <col min="10991" max="10991" width="56.42578125" style="164" bestFit="1" customWidth="1"/>
    <col min="10992" max="10992" width="12.7109375" style="164" bestFit="1" customWidth="1"/>
    <col min="10993" max="10993" width="2.7109375" style="164" customWidth="1"/>
    <col min="10994" max="10994" width="12.7109375" style="164" bestFit="1" customWidth="1"/>
    <col min="10995" max="10995" width="2.7109375" style="164" customWidth="1"/>
    <col min="10996" max="10996" width="9.140625" style="164"/>
    <col min="10997" max="10997" width="12.5703125" style="164" bestFit="1" customWidth="1"/>
    <col min="10998" max="11246" width="9.140625" style="164"/>
    <col min="11247" max="11247" width="56.42578125" style="164" bestFit="1" customWidth="1"/>
    <col min="11248" max="11248" width="12.7109375" style="164" bestFit="1" customWidth="1"/>
    <col min="11249" max="11249" width="2.7109375" style="164" customWidth="1"/>
    <col min="11250" max="11250" width="12.7109375" style="164" bestFit="1" customWidth="1"/>
    <col min="11251" max="11251" width="2.7109375" style="164" customWidth="1"/>
    <col min="11252" max="11252" width="9.140625" style="164"/>
    <col min="11253" max="11253" width="12.5703125" style="164" bestFit="1" customWidth="1"/>
    <col min="11254" max="11502" width="9.140625" style="164"/>
    <col min="11503" max="11503" width="56.42578125" style="164" bestFit="1" customWidth="1"/>
    <col min="11504" max="11504" width="12.7109375" style="164" bestFit="1" customWidth="1"/>
    <col min="11505" max="11505" width="2.7109375" style="164" customWidth="1"/>
    <col min="11506" max="11506" width="12.7109375" style="164" bestFit="1" customWidth="1"/>
    <col min="11507" max="11507" width="2.7109375" style="164" customWidth="1"/>
    <col min="11508" max="11508" width="9.140625" style="164"/>
    <col min="11509" max="11509" width="12.5703125" style="164" bestFit="1" customWidth="1"/>
    <col min="11510" max="11758" width="9.140625" style="164"/>
    <col min="11759" max="11759" width="56.42578125" style="164" bestFit="1" customWidth="1"/>
    <col min="11760" max="11760" width="12.7109375" style="164" bestFit="1" customWidth="1"/>
    <col min="11761" max="11761" width="2.7109375" style="164" customWidth="1"/>
    <col min="11762" max="11762" width="12.7109375" style="164" bestFit="1" customWidth="1"/>
    <col min="11763" max="11763" width="2.7109375" style="164" customWidth="1"/>
    <col min="11764" max="11764" width="9.140625" style="164"/>
    <col min="11765" max="11765" width="12.5703125" style="164" bestFit="1" customWidth="1"/>
    <col min="11766" max="12014" width="9.140625" style="164"/>
    <col min="12015" max="12015" width="56.42578125" style="164" bestFit="1" customWidth="1"/>
    <col min="12016" max="12016" width="12.7109375" style="164" bestFit="1" customWidth="1"/>
    <col min="12017" max="12017" width="2.7109375" style="164" customWidth="1"/>
    <col min="12018" max="12018" width="12.7109375" style="164" bestFit="1" customWidth="1"/>
    <col min="12019" max="12019" width="2.7109375" style="164" customWidth="1"/>
    <col min="12020" max="12020" width="9.140625" style="164"/>
    <col min="12021" max="12021" width="12.5703125" style="164" bestFit="1" customWidth="1"/>
    <col min="12022" max="12270" width="9.140625" style="164"/>
    <col min="12271" max="12271" width="56.42578125" style="164" bestFit="1" customWidth="1"/>
    <col min="12272" max="12272" width="12.7109375" style="164" bestFit="1" customWidth="1"/>
    <col min="12273" max="12273" width="2.7109375" style="164" customWidth="1"/>
    <col min="12274" max="12274" width="12.7109375" style="164" bestFit="1" customWidth="1"/>
    <col min="12275" max="12275" width="2.7109375" style="164" customWidth="1"/>
    <col min="12276" max="12276" width="9.140625" style="164"/>
    <col min="12277" max="12277" width="12.5703125" style="164" bestFit="1" customWidth="1"/>
    <col min="12278" max="12526" width="9.140625" style="164"/>
    <col min="12527" max="12527" width="56.42578125" style="164" bestFit="1" customWidth="1"/>
    <col min="12528" max="12528" width="12.7109375" style="164" bestFit="1" customWidth="1"/>
    <col min="12529" max="12529" width="2.7109375" style="164" customWidth="1"/>
    <col min="12530" max="12530" width="12.7109375" style="164" bestFit="1" customWidth="1"/>
    <col min="12531" max="12531" width="2.7109375" style="164" customWidth="1"/>
    <col min="12532" max="12532" width="9.140625" style="164"/>
    <col min="12533" max="12533" width="12.5703125" style="164" bestFit="1" customWidth="1"/>
    <col min="12534" max="12782" width="9.140625" style="164"/>
    <col min="12783" max="12783" width="56.42578125" style="164" bestFit="1" customWidth="1"/>
    <col min="12784" max="12784" width="12.7109375" style="164" bestFit="1" customWidth="1"/>
    <col min="12785" max="12785" width="2.7109375" style="164" customWidth="1"/>
    <col min="12786" max="12786" width="12.7109375" style="164" bestFit="1" customWidth="1"/>
    <col min="12787" max="12787" width="2.7109375" style="164" customWidth="1"/>
    <col min="12788" max="12788" width="9.140625" style="164"/>
    <col min="12789" max="12789" width="12.5703125" style="164" bestFit="1" customWidth="1"/>
    <col min="12790" max="13038" width="9.140625" style="164"/>
    <col min="13039" max="13039" width="56.42578125" style="164" bestFit="1" customWidth="1"/>
    <col min="13040" max="13040" width="12.7109375" style="164" bestFit="1" customWidth="1"/>
    <col min="13041" max="13041" width="2.7109375" style="164" customWidth="1"/>
    <col min="13042" max="13042" width="12.7109375" style="164" bestFit="1" customWidth="1"/>
    <col min="13043" max="13043" width="2.7109375" style="164" customWidth="1"/>
    <col min="13044" max="13044" width="9.140625" style="164"/>
    <col min="13045" max="13045" width="12.5703125" style="164" bestFit="1" customWidth="1"/>
    <col min="13046" max="13294" width="9.140625" style="164"/>
    <col min="13295" max="13295" width="56.42578125" style="164" bestFit="1" customWidth="1"/>
    <col min="13296" max="13296" width="12.7109375" style="164" bestFit="1" customWidth="1"/>
    <col min="13297" max="13297" width="2.7109375" style="164" customWidth="1"/>
    <col min="13298" max="13298" width="12.7109375" style="164" bestFit="1" customWidth="1"/>
    <col min="13299" max="13299" width="2.7109375" style="164" customWidth="1"/>
    <col min="13300" max="13300" width="9.140625" style="164"/>
    <col min="13301" max="13301" width="12.5703125" style="164" bestFit="1" customWidth="1"/>
    <col min="13302" max="13550" width="9.140625" style="164"/>
    <col min="13551" max="13551" width="56.42578125" style="164" bestFit="1" customWidth="1"/>
    <col min="13552" max="13552" width="12.7109375" style="164" bestFit="1" customWidth="1"/>
    <col min="13553" max="13553" width="2.7109375" style="164" customWidth="1"/>
    <col min="13554" max="13554" width="12.7109375" style="164" bestFit="1" customWidth="1"/>
    <col min="13555" max="13555" width="2.7109375" style="164" customWidth="1"/>
    <col min="13556" max="13556" width="9.140625" style="164"/>
    <col min="13557" max="13557" width="12.5703125" style="164" bestFit="1" customWidth="1"/>
    <col min="13558" max="13806" width="9.140625" style="164"/>
    <col min="13807" max="13807" width="56.42578125" style="164" bestFit="1" customWidth="1"/>
    <col min="13808" max="13808" width="12.7109375" style="164" bestFit="1" customWidth="1"/>
    <col min="13809" max="13809" width="2.7109375" style="164" customWidth="1"/>
    <col min="13810" max="13810" width="12.7109375" style="164" bestFit="1" customWidth="1"/>
    <col min="13811" max="13811" width="2.7109375" style="164" customWidth="1"/>
    <col min="13812" max="13812" width="9.140625" style="164"/>
    <col min="13813" max="13813" width="12.5703125" style="164" bestFit="1" customWidth="1"/>
    <col min="13814" max="14062" width="9.140625" style="164"/>
    <col min="14063" max="14063" width="56.42578125" style="164" bestFit="1" customWidth="1"/>
    <col min="14064" max="14064" width="12.7109375" style="164" bestFit="1" customWidth="1"/>
    <col min="14065" max="14065" width="2.7109375" style="164" customWidth="1"/>
    <col min="14066" max="14066" width="12.7109375" style="164" bestFit="1" customWidth="1"/>
    <col min="14067" max="14067" width="2.7109375" style="164" customWidth="1"/>
    <col min="14068" max="14068" width="9.140625" style="164"/>
    <col min="14069" max="14069" width="12.5703125" style="164" bestFit="1" customWidth="1"/>
    <col min="14070" max="14318" width="9.140625" style="164"/>
    <col min="14319" max="14319" width="56.42578125" style="164" bestFit="1" customWidth="1"/>
    <col min="14320" max="14320" width="12.7109375" style="164" bestFit="1" customWidth="1"/>
    <col min="14321" max="14321" width="2.7109375" style="164" customWidth="1"/>
    <col min="14322" max="14322" width="12.7109375" style="164" bestFit="1" customWidth="1"/>
    <col min="14323" max="14323" width="2.7109375" style="164" customWidth="1"/>
    <col min="14324" max="14324" width="9.140625" style="164"/>
    <col min="14325" max="14325" width="12.5703125" style="164" bestFit="1" customWidth="1"/>
    <col min="14326" max="14574" width="9.140625" style="164"/>
    <col min="14575" max="14575" width="56.42578125" style="164" bestFit="1" customWidth="1"/>
    <col min="14576" max="14576" width="12.7109375" style="164" bestFit="1" customWidth="1"/>
    <col min="14577" max="14577" width="2.7109375" style="164" customWidth="1"/>
    <col min="14578" max="14578" width="12.7109375" style="164" bestFit="1" customWidth="1"/>
    <col min="14579" max="14579" width="2.7109375" style="164" customWidth="1"/>
    <col min="14580" max="14580" width="9.140625" style="164"/>
    <col min="14581" max="14581" width="12.5703125" style="164" bestFit="1" customWidth="1"/>
    <col min="14582" max="14830" width="9.140625" style="164"/>
    <col min="14831" max="14831" width="56.42578125" style="164" bestFit="1" customWidth="1"/>
    <col min="14832" max="14832" width="12.7109375" style="164" bestFit="1" customWidth="1"/>
    <col min="14833" max="14833" width="2.7109375" style="164" customWidth="1"/>
    <col min="14834" max="14834" width="12.7109375" style="164" bestFit="1" customWidth="1"/>
    <col min="14835" max="14835" width="2.7109375" style="164" customWidth="1"/>
    <col min="14836" max="14836" width="9.140625" style="164"/>
    <col min="14837" max="14837" width="12.5703125" style="164" bestFit="1" customWidth="1"/>
    <col min="14838" max="15086" width="9.140625" style="164"/>
    <col min="15087" max="15087" width="56.42578125" style="164" bestFit="1" customWidth="1"/>
    <col min="15088" max="15088" width="12.7109375" style="164" bestFit="1" customWidth="1"/>
    <col min="15089" max="15089" width="2.7109375" style="164" customWidth="1"/>
    <col min="15090" max="15090" width="12.7109375" style="164" bestFit="1" customWidth="1"/>
    <col min="15091" max="15091" width="2.7109375" style="164" customWidth="1"/>
    <col min="15092" max="15092" width="9.140625" style="164"/>
    <col min="15093" max="15093" width="12.5703125" style="164" bestFit="1" customWidth="1"/>
    <col min="15094" max="15342" width="9.140625" style="164"/>
    <col min="15343" max="15343" width="56.42578125" style="164" bestFit="1" customWidth="1"/>
    <col min="15344" max="15344" width="12.7109375" style="164" bestFit="1" customWidth="1"/>
    <col min="15345" max="15345" width="2.7109375" style="164" customWidth="1"/>
    <col min="15346" max="15346" width="12.7109375" style="164" bestFit="1" customWidth="1"/>
    <col min="15347" max="15347" width="2.7109375" style="164" customWidth="1"/>
    <col min="15348" max="15348" width="9.140625" style="164"/>
    <col min="15349" max="15349" width="12.5703125" style="164" bestFit="1" customWidth="1"/>
    <col min="15350" max="15598" width="9.140625" style="164"/>
    <col min="15599" max="15599" width="56.42578125" style="164" bestFit="1" customWidth="1"/>
    <col min="15600" max="15600" width="12.7109375" style="164" bestFit="1" customWidth="1"/>
    <col min="15601" max="15601" width="2.7109375" style="164" customWidth="1"/>
    <col min="15602" max="15602" width="12.7109375" style="164" bestFit="1" customWidth="1"/>
    <col min="15603" max="15603" width="2.7109375" style="164" customWidth="1"/>
    <col min="15604" max="15604" width="9.140625" style="164"/>
    <col min="15605" max="15605" width="12.5703125" style="164" bestFit="1" customWidth="1"/>
    <col min="15606" max="15854" width="9.140625" style="164"/>
    <col min="15855" max="15855" width="56.42578125" style="164" bestFit="1" customWidth="1"/>
    <col min="15856" max="15856" width="12.7109375" style="164" bestFit="1" customWidth="1"/>
    <col min="15857" max="15857" width="2.7109375" style="164" customWidth="1"/>
    <col min="15858" max="15858" width="12.7109375" style="164" bestFit="1" customWidth="1"/>
    <col min="15859" max="15859" width="2.7109375" style="164" customWidth="1"/>
    <col min="15860" max="15860" width="9.140625" style="164"/>
    <col min="15861" max="15861" width="12.5703125" style="164" bestFit="1" customWidth="1"/>
    <col min="15862" max="16110" width="9.140625" style="164"/>
    <col min="16111" max="16111" width="56.42578125" style="164" bestFit="1" customWidth="1"/>
    <col min="16112" max="16112" width="12.7109375" style="164" bestFit="1" customWidth="1"/>
    <col min="16113" max="16113" width="2.7109375" style="164" customWidth="1"/>
    <col min="16114" max="16114" width="12.7109375" style="164" bestFit="1" customWidth="1"/>
    <col min="16115" max="16115" width="2.7109375" style="164" customWidth="1"/>
    <col min="16116" max="16116" width="9.140625" style="164"/>
    <col min="16117" max="16117" width="12.5703125" style="164" bestFit="1" customWidth="1"/>
    <col min="16118" max="16384" width="9.140625" style="164"/>
  </cols>
  <sheetData>
    <row r="1" spans="1:16" ht="14.25" x14ac:dyDescent="0.2">
      <c r="A1" s="478" t="s">
        <v>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</row>
    <row r="2" spans="1:16" ht="14.25" x14ac:dyDescent="0.2">
      <c r="A2" s="478" t="s">
        <v>1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</row>
    <row r="3" spans="1:16" ht="14.25" x14ac:dyDescent="0.2">
      <c r="A3" s="249"/>
      <c r="B3" s="249"/>
      <c r="C3" s="249"/>
      <c r="D3" s="281"/>
      <c r="E3" s="281"/>
      <c r="F3" s="249"/>
      <c r="G3" s="281"/>
      <c r="H3" s="281"/>
      <c r="I3" s="249"/>
      <c r="J3" s="281"/>
      <c r="K3" s="281"/>
      <c r="L3" s="281"/>
      <c r="M3" s="281"/>
      <c r="N3" s="281"/>
      <c r="O3" s="281"/>
    </row>
    <row r="4" spans="1:16" ht="14.25" x14ac:dyDescent="0.2">
      <c r="A4" s="478" t="s">
        <v>2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</row>
    <row r="5" spans="1:16" ht="14.25" x14ac:dyDescent="0.2">
      <c r="A5" s="249"/>
      <c r="B5" s="249"/>
      <c r="C5" s="249"/>
      <c r="D5" s="281"/>
      <c r="E5" s="281"/>
      <c r="F5" s="249"/>
      <c r="G5" s="281"/>
      <c r="H5" s="281"/>
      <c r="I5" s="249"/>
      <c r="J5" s="281"/>
      <c r="K5" s="281"/>
      <c r="L5" s="281"/>
      <c r="M5" s="281"/>
      <c r="N5" s="281"/>
      <c r="O5" s="281"/>
    </row>
    <row r="6" spans="1:16" ht="15" x14ac:dyDescent="0.25">
      <c r="A6" s="471" t="s">
        <v>1791</v>
      </c>
      <c r="B6" s="471"/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1"/>
    </row>
    <row r="7" spans="1:16" ht="15" x14ac:dyDescent="0.25">
      <c r="A7" s="471" t="s">
        <v>1928</v>
      </c>
      <c r="B7" s="471"/>
      <c r="C7" s="471"/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1"/>
    </row>
    <row r="8" spans="1:16" ht="15" x14ac:dyDescent="0.25">
      <c r="A8" s="471" t="s">
        <v>1711</v>
      </c>
      <c r="B8" s="471"/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</row>
    <row r="9" spans="1:16" ht="14.25" x14ac:dyDescent="0.2">
      <c r="A9" s="282"/>
      <c r="B9" s="282"/>
      <c r="C9" s="282"/>
      <c r="D9" s="281"/>
      <c r="E9" s="281"/>
      <c r="F9" s="282"/>
      <c r="G9" s="281"/>
      <c r="H9" s="281"/>
      <c r="I9" s="282"/>
      <c r="J9" s="281"/>
      <c r="K9" s="281"/>
      <c r="L9" s="281"/>
      <c r="M9" s="281"/>
      <c r="N9" s="281"/>
      <c r="O9" s="281"/>
    </row>
    <row r="10" spans="1:16" ht="14.25" x14ac:dyDescent="0.2">
      <c r="A10" s="282"/>
      <c r="B10" s="282"/>
      <c r="C10" s="282"/>
      <c r="D10" s="281"/>
      <c r="E10" s="281"/>
      <c r="F10" s="119"/>
      <c r="G10" s="121"/>
      <c r="H10" s="121"/>
      <c r="I10" s="131"/>
      <c r="J10" s="281"/>
      <c r="K10" s="281"/>
      <c r="L10" s="281"/>
      <c r="M10" s="281"/>
      <c r="N10" s="281"/>
      <c r="O10" s="281"/>
    </row>
    <row r="11" spans="1:16" ht="15" x14ac:dyDescent="0.25">
      <c r="A11" s="282"/>
      <c r="B11" s="282"/>
      <c r="C11" s="252"/>
      <c r="D11" s="283"/>
      <c r="E11" s="283"/>
      <c r="F11" s="253" t="s">
        <v>1882</v>
      </c>
      <c r="G11" s="283"/>
      <c r="H11" s="283"/>
      <c r="I11" s="254" t="s">
        <v>1882</v>
      </c>
      <c r="J11" s="284"/>
      <c r="K11" s="284"/>
      <c r="L11" s="254" t="s">
        <v>1881</v>
      </c>
      <c r="M11" s="284"/>
      <c r="N11" s="284"/>
      <c r="O11" s="254" t="s">
        <v>1881</v>
      </c>
    </row>
    <row r="12" spans="1:16" ht="15" x14ac:dyDescent="0.25">
      <c r="A12" s="249"/>
      <c r="B12" s="249"/>
      <c r="C12" s="256"/>
      <c r="D12" s="283"/>
      <c r="E12" s="283"/>
      <c r="F12" s="285">
        <v>44835</v>
      </c>
      <c r="G12" s="283"/>
      <c r="H12" s="283"/>
      <c r="I12" s="257">
        <v>44470</v>
      </c>
      <c r="J12" s="284"/>
      <c r="K12" s="284"/>
      <c r="L12" s="257">
        <v>44562</v>
      </c>
      <c r="M12" s="284"/>
      <c r="N12" s="284"/>
      <c r="O12" s="257">
        <v>44197</v>
      </c>
      <c r="P12" s="177"/>
    </row>
    <row r="13" spans="1:16" ht="15" x14ac:dyDescent="0.25">
      <c r="A13" s="249"/>
      <c r="B13" s="249"/>
      <c r="C13" s="252"/>
      <c r="D13" s="283"/>
      <c r="E13" s="283"/>
      <c r="F13" s="253" t="s">
        <v>5</v>
      </c>
      <c r="G13" s="283"/>
      <c r="H13" s="283"/>
      <c r="I13" s="254" t="s">
        <v>5</v>
      </c>
      <c r="J13" s="284"/>
      <c r="K13" s="284"/>
      <c r="L13" s="254" t="s">
        <v>5</v>
      </c>
      <c r="M13" s="284"/>
      <c r="N13" s="284"/>
      <c r="O13" s="254" t="s">
        <v>5</v>
      </c>
    </row>
    <row r="14" spans="1:16" ht="15" x14ac:dyDescent="0.25">
      <c r="A14" s="249"/>
      <c r="B14" s="249"/>
      <c r="C14" s="258"/>
      <c r="D14" s="283"/>
      <c r="E14" s="283"/>
      <c r="F14" s="286">
        <v>44926</v>
      </c>
      <c r="G14" s="283"/>
      <c r="H14" s="283"/>
      <c r="I14" s="259">
        <v>44561</v>
      </c>
      <c r="J14" s="284"/>
      <c r="K14" s="284"/>
      <c r="L14" s="259">
        <v>44926</v>
      </c>
      <c r="M14" s="284"/>
      <c r="N14" s="284"/>
      <c r="O14" s="259">
        <v>44561</v>
      </c>
    </row>
    <row r="15" spans="1:16" ht="14.25" x14ac:dyDescent="0.2">
      <c r="A15" s="249"/>
      <c r="B15" s="249"/>
      <c r="C15" s="249"/>
      <c r="D15" s="283"/>
      <c r="E15" s="283"/>
      <c r="F15" s="281"/>
      <c r="G15" s="281"/>
      <c r="H15" s="281"/>
      <c r="I15" s="284"/>
      <c r="J15" s="284"/>
      <c r="K15" s="284"/>
      <c r="L15" s="287"/>
      <c r="M15" s="283"/>
      <c r="N15" s="284"/>
      <c r="O15" s="288"/>
    </row>
    <row r="16" spans="1:16" ht="15.75" thickBot="1" x14ac:dyDescent="0.3">
      <c r="A16" s="266" t="s">
        <v>6</v>
      </c>
      <c r="B16" s="289"/>
      <c r="C16" s="290"/>
      <c r="D16" s="281"/>
      <c r="E16" s="281"/>
      <c r="F16" s="381">
        <f>F18+F20+F29+F41+F52</f>
        <v>-1137.0188500000004</v>
      </c>
      <c r="G16" s="375"/>
      <c r="H16" s="375"/>
      <c r="I16" s="372">
        <v>4207</v>
      </c>
      <c r="J16" s="394"/>
      <c r="K16" s="394"/>
      <c r="L16" s="381">
        <f>L18+L20+L29+L41+L52</f>
        <v>-44527.576749999993</v>
      </c>
      <c r="M16" s="395"/>
      <c r="N16" s="394"/>
      <c r="O16" s="372">
        <f>O18+O20+O29+O41+O52</f>
        <v>2225.1539200000007</v>
      </c>
    </row>
    <row r="17" spans="1:22" ht="14.25" x14ac:dyDescent="0.2">
      <c r="A17" s="282"/>
      <c r="B17" s="282"/>
      <c r="C17" s="282"/>
      <c r="D17" s="281"/>
      <c r="E17" s="281"/>
      <c r="F17" s="373"/>
      <c r="G17" s="375"/>
      <c r="H17" s="375"/>
      <c r="I17" s="384"/>
      <c r="J17" s="394"/>
      <c r="K17" s="394"/>
      <c r="L17" s="396"/>
      <c r="M17" s="395"/>
      <c r="N17" s="394"/>
      <c r="O17" s="384"/>
    </row>
    <row r="18" spans="1:22" ht="14.25" x14ac:dyDescent="0.2">
      <c r="A18" s="293" t="s">
        <v>7</v>
      </c>
      <c r="B18" s="293"/>
      <c r="C18" s="294"/>
      <c r="D18" s="283"/>
      <c r="E18" s="283"/>
      <c r="F18" s="374">
        <f>'DRE '!C53</f>
        <v>1066.8634400000017</v>
      </c>
      <c r="G18" s="375"/>
      <c r="H18" s="375"/>
      <c r="I18" s="379">
        <f>'DRE '!E53</f>
        <v>3646.0233700000003</v>
      </c>
      <c r="J18" s="394"/>
      <c r="K18" s="394"/>
      <c r="L18" s="374">
        <f>'DRE '!J53</f>
        <v>53856.495080000008</v>
      </c>
      <c r="M18" s="395"/>
      <c r="N18" s="394"/>
      <c r="O18" s="379">
        <f>'DRE '!L53</f>
        <v>-4734.8460799999993</v>
      </c>
      <c r="Q18" s="200"/>
    </row>
    <row r="19" spans="1:22" ht="14.25" x14ac:dyDescent="0.2">
      <c r="A19" s="293"/>
      <c r="B19" s="293"/>
      <c r="C19" s="293"/>
      <c r="D19" s="283"/>
      <c r="E19" s="283"/>
      <c r="F19" s="376"/>
      <c r="G19" s="375"/>
      <c r="H19" s="375"/>
      <c r="I19" s="384"/>
      <c r="J19" s="394"/>
      <c r="K19" s="394"/>
      <c r="L19" s="396"/>
      <c r="M19" s="395"/>
      <c r="N19" s="394"/>
      <c r="O19" s="384"/>
      <c r="Q19" s="200"/>
      <c r="R19" s="227"/>
      <c r="S19" s="227"/>
      <c r="T19" s="227"/>
      <c r="U19" s="227"/>
      <c r="V19" s="227"/>
    </row>
    <row r="20" spans="1:22" ht="15" x14ac:dyDescent="0.25">
      <c r="A20" s="293" t="s">
        <v>8</v>
      </c>
      <c r="B20" s="293"/>
      <c r="C20" s="291"/>
      <c r="D20" s="283"/>
      <c r="E20" s="283"/>
      <c r="F20" s="377">
        <f>SUM(F21:F27)</f>
        <v>3730.9676400000008</v>
      </c>
      <c r="G20" s="375"/>
      <c r="H20" s="375"/>
      <c r="I20" s="377">
        <f>SUM(I21:I27)</f>
        <v>5412.9241500000007</v>
      </c>
      <c r="J20" s="394"/>
      <c r="K20" s="394"/>
      <c r="L20" s="378">
        <f>SUM(L21:L27)</f>
        <v>13582.25225</v>
      </c>
      <c r="M20" s="395"/>
      <c r="N20" s="394"/>
      <c r="O20" s="372">
        <f>SUM(O21:O26)</f>
        <v>9287</v>
      </c>
      <c r="Q20" s="200"/>
      <c r="R20" s="227"/>
      <c r="S20" s="234"/>
      <c r="T20" s="232"/>
      <c r="U20" s="227"/>
      <c r="V20" s="227"/>
    </row>
    <row r="21" spans="1:22" ht="14.25" x14ac:dyDescent="0.2">
      <c r="A21" s="293" t="s">
        <v>9</v>
      </c>
      <c r="B21" s="293"/>
      <c r="C21" s="294"/>
      <c r="D21" s="283"/>
      <c r="E21" s="283"/>
      <c r="F21" s="379">
        <f>(2914470.93+1172907.77+50570.41)/1000</f>
        <v>4137.9491100000005</v>
      </c>
      <c r="G21" s="375"/>
      <c r="H21" s="375"/>
      <c r="I21" s="380">
        <f>([8]Página1!$G$813+[8]Página1!$G$908+[8]Página1!$G$909)/1000</f>
        <v>3902.1911400000008</v>
      </c>
      <c r="J21" s="394"/>
      <c r="K21" s="394"/>
      <c r="L21" s="374">
        <v>16474</v>
      </c>
      <c r="M21" s="395"/>
      <c r="N21" s="394"/>
      <c r="O21" s="386">
        <v>15679</v>
      </c>
      <c r="Q21" s="200"/>
      <c r="R21" s="227"/>
      <c r="S21" s="233"/>
      <c r="T21" s="232"/>
      <c r="U21" s="232"/>
      <c r="V21" s="232"/>
    </row>
    <row r="22" spans="1:22" ht="14.25" x14ac:dyDescent="0.2">
      <c r="A22" s="293" t="s">
        <v>10</v>
      </c>
      <c r="B22" s="293"/>
      <c r="C22" s="296"/>
      <c r="D22" s="297"/>
      <c r="E22" s="297"/>
      <c r="F22" s="374">
        <f>-406981.47/1000</f>
        <v>-406.98146999999994</v>
      </c>
      <c r="G22" s="375"/>
      <c r="H22" s="375"/>
      <c r="I22" s="379">
        <f>-([8]Página1!$I$812)/1000</f>
        <v>-220.66699</v>
      </c>
      <c r="J22" s="394"/>
      <c r="K22" s="394"/>
      <c r="L22" s="374">
        <f>-1206-407</f>
        <v>-1613</v>
      </c>
      <c r="M22" s="395"/>
      <c r="N22" s="394"/>
      <c r="O22" s="379">
        <v>-879</v>
      </c>
      <c r="Q22" s="200"/>
      <c r="R22" s="227"/>
      <c r="S22" s="233"/>
      <c r="T22" s="232"/>
      <c r="U22" s="232"/>
      <c r="V22" s="232"/>
    </row>
    <row r="23" spans="1:22" ht="14.25" x14ac:dyDescent="0.2">
      <c r="A23" s="298" t="s">
        <v>1893</v>
      </c>
      <c r="B23" s="298"/>
      <c r="C23" s="296"/>
      <c r="D23" s="283"/>
      <c r="E23" s="283"/>
      <c r="F23" s="374">
        <v>0</v>
      </c>
      <c r="G23" s="375"/>
      <c r="H23" s="375"/>
      <c r="I23" s="379">
        <v>0</v>
      </c>
      <c r="J23" s="394"/>
      <c r="K23" s="394"/>
      <c r="L23" s="374">
        <f>-[6]Página1!$I$1068/1000</f>
        <v>-1278.74775</v>
      </c>
      <c r="M23" s="395"/>
      <c r="N23" s="394"/>
      <c r="O23" s="379">
        <v>0</v>
      </c>
      <c r="Q23" s="200"/>
      <c r="R23" s="227"/>
      <c r="S23" s="233"/>
      <c r="T23" s="232"/>
      <c r="U23" s="232"/>
      <c r="V23" s="232"/>
    </row>
    <row r="24" spans="1:22" ht="14.25" hidden="1" x14ac:dyDescent="0.2">
      <c r="A24" s="293" t="s">
        <v>12</v>
      </c>
      <c r="B24" s="293"/>
      <c r="C24" s="294"/>
      <c r="D24" s="283"/>
      <c r="E24" s="283"/>
      <c r="F24" s="374"/>
      <c r="G24" s="375"/>
      <c r="H24" s="375"/>
      <c r="I24" s="379">
        <v>0</v>
      </c>
      <c r="J24" s="394"/>
      <c r="K24" s="394"/>
      <c r="L24" s="374"/>
      <c r="M24" s="395"/>
      <c r="N24" s="394"/>
      <c r="O24" s="379"/>
      <c r="Q24" s="200"/>
      <c r="R24" s="227"/>
      <c r="S24" s="227"/>
      <c r="T24" s="227"/>
      <c r="U24" s="232"/>
      <c r="V24" s="227"/>
    </row>
    <row r="25" spans="1:22" ht="14.25" hidden="1" x14ac:dyDescent="0.2">
      <c r="A25" s="298" t="s">
        <v>13</v>
      </c>
      <c r="B25" s="298"/>
      <c r="C25" s="296"/>
      <c r="D25" s="283"/>
      <c r="E25" s="283"/>
      <c r="F25" s="374"/>
      <c r="G25" s="375"/>
      <c r="H25" s="375"/>
      <c r="I25" s="379">
        <v>0</v>
      </c>
      <c r="J25" s="394"/>
      <c r="K25" s="394"/>
      <c r="L25" s="374"/>
      <c r="M25" s="395"/>
      <c r="N25" s="394"/>
      <c r="O25" s="379"/>
      <c r="Q25" s="200"/>
      <c r="R25" s="227"/>
      <c r="S25" s="227"/>
      <c r="T25" s="227"/>
      <c r="U25" s="232"/>
      <c r="V25" s="227"/>
    </row>
    <row r="26" spans="1:22" ht="14.25" x14ac:dyDescent="0.2">
      <c r="A26" s="298" t="s">
        <v>1914</v>
      </c>
      <c r="B26" s="298"/>
      <c r="C26" s="294"/>
      <c r="D26" s="283"/>
      <c r="E26" s="283"/>
      <c r="F26" s="374"/>
      <c r="G26" s="375"/>
      <c r="H26" s="375"/>
      <c r="I26" s="379">
        <v>1731.4</v>
      </c>
      <c r="J26" s="394"/>
      <c r="K26" s="394"/>
      <c r="L26" s="374">
        <v>0</v>
      </c>
      <c r="M26" s="395"/>
      <c r="N26" s="394"/>
      <c r="O26" s="379">
        <v>-5513</v>
      </c>
      <c r="Q26" s="200"/>
      <c r="R26" s="227"/>
      <c r="S26" s="227"/>
      <c r="T26" s="227"/>
      <c r="U26" s="232"/>
      <c r="V26" s="233"/>
    </row>
    <row r="27" spans="1:22" ht="14.25" x14ac:dyDescent="0.2">
      <c r="A27" s="298" t="s">
        <v>1894</v>
      </c>
      <c r="B27" s="293"/>
      <c r="C27" s="293"/>
      <c r="D27" s="283"/>
      <c r="E27" s="283"/>
      <c r="F27" s="374">
        <v>0</v>
      </c>
      <c r="G27" s="375"/>
      <c r="H27" s="375"/>
      <c r="I27" s="384"/>
      <c r="J27" s="394"/>
      <c r="K27" s="394"/>
      <c r="L27" s="396"/>
      <c r="M27" s="395"/>
      <c r="N27" s="394"/>
      <c r="O27" s="384"/>
      <c r="Q27" s="200"/>
      <c r="R27" s="227"/>
      <c r="S27" s="234"/>
      <c r="T27" s="227"/>
      <c r="U27" s="227"/>
      <c r="V27" s="227"/>
    </row>
    <row r="28" spans="1:22" ht="14.25" x14ac:dyDescent="0.2">
      <c r="A28" s="293"/>
      <c r="B28" s="293"/>
      <c r="C28" s="293"/>
      <c r="D28" s="283"/>
      <c r="E28" s="283"/>
      <c r="F28" s="376"/>
      <c r="G28" s="375"/>
      <c r="H28" s="375"/>
      <c r="I28" s="384"/>
      <c r="J28" s="394"/>
      <c r="K28" s="394"/>
      <c r="L28" s="396"/>
      <c r="M28" s="395"/>
      <c r="N28" s="394"/>
      <c r="O28" s="384"/>
      <c r="Q28" s="200"/>
      <c r="R28" s="196"/>
    </row>
    <row r="29" spans="1:22" ht="15.75" thickBot="1" x14ac:dyDescent="0.3">
      <c r="A29" s="293" t="s">
        <v>15</v>
      </c>
      <c r="B29" s="293"/>
      <c r="C29" s="299"/>
      <c r="D29" s="283"/>
      <c r="E29" s="283"/>
      <c r="F29" s="381">
        <f>SUM(F30:G39)</f>
        <v>-2222.3958900000002</v>
      </c>
      <c r="G29" s="375"/>
      <c r="H29" s="375"/>
      <c r="I29" s="372">
        <f>SUM(I30:I39)</f>
        <v>447.54522000000003</v>
      </c>
      <c r="J29" s="394"/>
      <c r="K29" s="394"/>
      <c r="L29" s="381">
        <f>SUM(L30:L39)</f>
        <v>-2028.7338700000005</v>
      </c>
      <c r="M29" s="395"/>
      <c r="N29" s="394"/>
      <c r="O29" s="372">
        <f>SUM(O30:O38)</f>
        <v>2990</v>
      </c>
      <c r="Q29" s="200"/>
      <c r="R29" s="196"/>
    </row>
    <row r="30" spans="1:22" ht="14.25" x14ac:dyDescent="0.2">
      <c r="A30" s="293" t="s">
        <v>16</v>
      </c>
      <c r="B30" s="293"/>
      <c r="C30" s="295"/>
      <c r="D30" s="283"/>
      <c r="E30" s="283"/>
      <c r="F30" s="374">
        <f>(6393955.65-8622726.63)/1000</f>
        <v>-2228.7709800000002</v>
      </c>
      <c r="G30" s="375"/>
      <c r="H30" s="375"/>
      <c r="I30" s="379">
        <f>([8]Página1!$E$32-[8]Página1!$K$32)/1000</f>
        <v>-566.12812999999994</v>
      </c>
      <c r="J30" s="394"/>
      <c r="K30" s="394"/>
      <c r="L30" s="374">
        <f>([6]Página1!$E$39-[6]Página1!$K$39)/1000</f>
        <v>-3583.8092500000012</v>
      </c>
      <c r="M30" s="395"/>
      <c r="N30" s="394"/>
      <c r="O30" s="379">
        <v>-740</v>
      </c>
      <c r="P30" s="202"/>
      <c r="Q30" s="200"/>
      <c r="R30" s="357"/>
    </row>
    <row r="31" spans="1:22" ht="14.25" x14ac:dyDescent="0.2">
      <c r="A31" s="293" t="s">
        <v>17</v>
      </c>
      <c r="B31" s="293"/>
      <c r="C31" s="295"/>
      <c r="D31" s="283"/>
      <c r="E31" s="283"/>
      <c r="F31" s="374">
        <f>(1109.32-20454.99)/1000</f>
        <v>-19.345670000000002</v>
      </c>
      <c r="G31" s="375"/>
      <c r="H31" s="375"/>
      <c r="I31" s="379">
        <f>([8]Página1!$E$42-[8]Página1!$K$42)/1000</f>
        <v>-17.928169999999998</v>
      </c>
      <c r="J31" s="394"/>
      <c r="K31" s="394"/>
      <c r="L31" s="374">
        <f>([6]Página1!$E$50-[6]Página1!$K$50)/1000</f>
        <v>16.945249999999998</v>
      </c>
      <c r="M31" s="395"/>
      <c r="N31" s="394"/>
      <c r="O31" s="386">
        <v>22</v>
      </c>
      <c r="P31" s="202"/>
      <c r="Q31" s="200"/>
      <c r="R31" s="357"/>
    </row>
    <row r="32" spans="1:22" ht="14.25" x14ac:dyDescent="0.2">
      <c r="A32" s="293" t="s">
        <v>18</v>
      </c>
      <c r="B32" s="293"/>
      <c r="C32" s="295"/>
      <c r="D32" s="283"/>
      <c r="E32" s="283"/>
      <c r="F32" s="374">
        <f>(634463.33-518937.02)/1000</f>
        <v>115.52630999999994</v>
      </c>
      <c r="G32" s="375"/>
      <c r="H32" s="375"/>
      <c r="I32" s="379">
        <f>([8]Página1!$E$49-[8]Página1!$K$49)/1000</f>
        <v>83.731369999999998</v>
      </c>
      <c r="J32" s="394"/>
      <c r="K32" s="394"/>
      <c r="L32" s="374">
        <f>([6]Página1!$E$57-[6]Página1!$K$57)/1000</f>
        <v>-149.71285000000003</v>
      </c>
      <c r="M32" s="395"/>
      <c r="N32" s="394"/>
      <c r="O32" s="379">
        <v>-150</v>
      </c>
      <c r="P32" s="202"/>
      <c r="Q32" s="200"/>
      <c r="U32" s="200"/>
    </row>
    <row r="33" spans="1:21" ht="14.25" x14ac:dyDescent="0.2">
      <c r="A33" s="293" t="s">
        <v>19</v>
      </c>
      <c r="B33" s="293"/>
      <c r="C33" s="295"/>
      <c r="D33" s="283"/>
      <c r="E33" s="283"/>
      <c r="F33" s="374">
        <f>(340666.62-340666.62)/1000</f>
        <v>0</v>
      </c>
      <c r="G33" s="375"/>
      <c r="H33" s="375"/>
      <c r="I33" s="379">
        <f>([8]Página1!$E$46-[8]Página1!$K$46)/1000</f>
        <v>25.798820000000006</v>
      </c>
      <c r="J33" s="394"/>
      <c r="K33" s="394"/>
      <c r="L33" s="374">
        <f>([6]Página1!$E$54-[6]Página1!$K$54)/1000</f>
        <v>0</v>
      </c>
      <c r="M33" s="395"/>
      <c r="N33" s="394"/>
      <c r="O33" s="379">
        <v>26</v>
      </c>
      <c r="P33" s="202"/>
      <c r="Q33" s="200"/>
    </row>
    <row r="34" spans="1:21" ht="14.25" x14ac:dyDescent="0.2">
      <c r="A34" s="293" t="s">
        <v>20</v>
      </c>
      <c r="B34" s="293"/>
      <c r="C34" s="295"/>
      <c r="D34" s="283"/>
      <c r="E34" s="283"/>
      <c r="F34" s="374">
        <f>(1188523.97-1906069.27)/1000</f>
        <v>-717.5453</v>
      </c>
      <c r="G34" s="375"/>
      <c r="H34" s="375"/>
      <c r="I34" s="379">
        <f>([8]Página1!$E$55-[8]Página1!$K$55)/1000</f>
        <v>819.84508000000005</v>
      </c>
      <c r="J34" s="394"/>
      <c r="K34" s="394"/>
      <c r="L34" s="374">
        <f>([6]Página1!$E$69-[6]Página1!$K$69)/1000</f>
        <v>333.65718000000015</v>
      </c>
      <c r="M34" s="397"/>
      <c r="N34" s="394"/>
      <c r="O34" s="386">
        <v>3868</v>
      </c>
      <c r="Q34" s="200"/>
    </row>
    <row r="35" spans="1:21" ht="14.25" x14ac:dyDescent="0.2">
      <c r="A35" s="293" t="s">
        <v>21</v>
      </c>
      <c r="B35" s="293"/>
      <c r="C35" s="295"/>
      <c r="D35" s="283"/>
      <c r="E35" s="283"/>
      <c r="F35" s="374">
        <f>(50576.23-49430.26)/1000</f>
        <v>1.1459700000000013</v>
      </c>
      <c r="G35" s="375"/>
      <c r="H35" s="375"/>
      <c r="I35" s="379">
        <f>([8]Página1!$E$80-[8]Página1!$K$80)/1000</f>
        <v>-0.86587000000000258</v>
      </c>
      <c r="J35" s="394"/>
      <c r="K35" s="394"/>
      <c r="L35" s="374">
        <f>([6]Página1!$E$91-[6]Página1!$K$91)/1000</f>
        <v>7.4296299999999977</v>
      </c>
      <c r="M35" s="395"/>
      <c r="N35" s="394"/>
      <c r="O35" s="379">
        <v>2</v>
      </c>
      <c r="Q35" s="200"/>
    </row>
    <row r="36" spans="1:21" ht="14.25" x14ac:dyDescent="0.2">
      <c r="A36" s="293" t="s">
        <v>22</v>
      </c>
      <c r="B36" s="293"/>
      <c r="C36" s="295"/>
      <c r="D36" s="283"/>
      <c r="E36" s="283"/>
      <c r="F36" s="374">
        <f>(257674.6-132449.5)/1000</f>
        <v>125.22510000000001</v>
      </c>
      <c r="G36" s="375"/>
      <c r="H36" s="375"/>
      <c r="I36" s="379">
        <f>([8]Página1!$E$96-[8]Página1!$K$96)/1000</f>
        <v>103.09212000000002</v>
      </c>
      <c r="J36" s="394"/>
      <c r="K36" s="394"/>
      <c r="L36" s="374">
        <f>([6]Página1!$E$106-[6]Página1!$K$106)/1000</f>
        <v>-20.243830000000003</v>
      </c>
      <c r="M36" s="395"/>
      <c r="N36" s="394"/>
      <c r="O36" s="379">
        <v>-38</v>
      </c>
      <c r="Q36" s="200"/>
    </row>
    <row r="37" spans="1:21" ht="14.25" hidden="1" x14ac:dyDescent="0.2">
      <c r="A37" s="293" t="s">
        <v>1876</v>
      </c>
      <c r="B37" s="293"/>
      <c r="C37" s="295"/>
      <c r="D37" s="283"/>
      <c r="E37" s="283"/>
      <c r="F37" s="374">
        <v>0</v>
      </c>
      <c r="G37" s="375"/>
      <c r="H37" s="375"/>
      <c r="I37" s="379">
        <v>0</v>
      </c>
      <c r="J37" s="394"/>
      <c r="K37" s="394"/>
      <c r="L37" s="374">
        <v>0</v>
      </c>
      <c r="M37" s="395"/>
      <c r="N37" s="394"/>
      <c r="O37" s="379">
        <v>0</v>
      </c>
    </row>
    <row r="38" spans="1:21" s="195" customFormat="1" ht="14.25" x14ac:dyDescent="0.2">
      <c r="A38" s="293" t="s">
        <v>1876</v>
      </c>
      <c r="B38" s="293"/>
      <c r="C38" s="295"/>
      <c r="D38" s="283"/>
      <c r="E38" s="283"/>
      <c r="F38" s="374"/>
      <c r="G38" s="375"/>
      <c r="H38" s="375"/>
      <c r="I38" s="379">
        <v>0</v>
      </c>
      <c r="J38" s="394"/>
      <c r="K38" s="394"/>
      <c r="L38" s="374"/>
      <c r="M38" s="395"/>
      <c r="N38" s="394"/>
      <c r="O38" s="379">
        <v>0</v>
      </c>
      <c r="Q38" s="358"/>
    </row>
    <row r="39" spans="1:21" ht="14.25" x14ac:dyDescent="0.2">
      <c r="A39" s="293" t="s">
        <v>23</v>
      </c>
      <c r="B39" s="293"/>
      <c r="C39" s="295"/>
      <c r="D39" s="283"/>
      <c r="E39" s="283"/>
      <c r="F39" s="374">
        <f>-(1193565.58-1694934.26)/1000</f>
        <v>501.36867999999993</v>
      </c>
      <c r="G39" s="375"/>
      <c r="H39" s="375"/>
      <c r="I39" s="379">
        <v>0</v>
      </c>
      <c r="J39" s="394"/>
      <c r="K39" s="394"/>
      <c r="L39" s="374">
        <v>1367</v>
      </c>
      <c r="M39" s="395"/>
      <c r="N39" s="394"/>
      <c r="O39" s="384"/>
    </row>
    <row r="40" spans="1:21" ht="14.25" x14ac:dyDescent="0.2">
      <c r="A40" s="293"/>
      <c r="B40" s="293"/>
      <c r="C40" s="293"/>
      <c r="D40" s="283"/>
      <c r="E40" s="283"/>
      <c r="F40" s="376"/>
      <c r="G40" s="375"/>
      <c r="H40" s="375"/>
      <c r="I40" s="384"/>
      <c r="J40" s="394"/>
      <c r="K40" s="394"/>
      <c r="L40" s="396"/>
      <c r="M40" s="395"/>
      <c r="N40" s="394"/>
      <c r="O40" s="384"/>
    </row>
    <row r="41" spans="1:21" ht="19.5" x14ac:dyDescent="0.25">
      <c r="A41" s="293" t="s">
        <v>24</v>
      </c>
      <c r="B41" s="293"/>
      <c r="C41" s="291"/>
      <c r="D41" s="283"/>
      <c r="E41" s="283"/>
      <c r="F41" s="398">
        <f>SUM(F42:F50)</f>
        <v>-2188.4447600000026</v>
      </c>
      <c r="G41" s="375"/>
      <c r="H41" s="375"/>
      <c r="I41" s="399">
        <f>SUM(I42:I50)</f>
        <v>-1610.388580000003</v>
      </c>
      <c r="J41" s="394"/>
      <c r="K41" s="394"/>
      <c r="L41" s="398">
        <f>SUM(L42:L50)</f>
        <v>-109971.90057</v>
      </c>
      <c r="M41" s="395"/>
      <c r="N41" s="394"/>
      <c r="O41" s="398">
        <f>SUM(O42:O50)</f>
        <v>-6721</v>
      </c>
      <c r="Q41" s="12"/>
    </row>
    <row r="42" spans="1:21" ht="14.25" x14ac:dyDescent="0.2">
      <c r="A42" s="293" t="s">
        <v>25</v>
      </c>
      <c r="B42" s="293"/>
      <c r="C42" s="295"/>
      <c r="D42" s="283"/>
      <c r="E42" s="283"/>
      <c r="F42" s="374">
        <f>(1007051.41-919977.37)/1000</f>
        <v>87.074040000000039</v>
      </c>
      <c r="G42" s="374"/>
      <c r="H42" s="374"/>
      <c r="I42" s="379">
        <f>([8]Página1!$E$107-[8]Página1!$K$107)/1000</f>
        <v>-25.41598999999999</v>
      </c>
      <c r="J42" s="394"/>
      <c r="K42" s="394"/>
      <c r="L42" s="374">
        <v>-131</v>
      </c>
      <c r="M42" s="395"/>
      <c r="N42" s="394"/>
      <c r="O42" s="379">
        <v>-207</v>
      </c>
    </row>
    <row r="43" spans="1:21" ht="14.25" hidden="1" x14ac:dyDescent="0.2">
      <c r="A43" s="293" t="s">
        <v>26</v>
      </c>
      <c r="B43" s="293"/>
      <c r="C43" s="295"/>
      <c r="D43" s="283"/>
      <c r="E43" s="283"/>
      <c r="F43" s="374">
        <f>(1457022.42-1457022.42)/1000</f>
        <v>0</v>
      </c>
      <c r="G43" s="374"/>
      <c r="H43" s="374"/>
      <c r="I43" s="379">
        <v>0</v>
      </c>
      <c r="J43" s="394"/>
      <c r="K43" s="394"/>
      <c r="L43" s="374"/>
      <c r="M43" s="395"/>
      <c r="N43" s="394"/>
      <c r="O43" s="386"/>
    </row>
    <row r="44" spans="1:21" s="190" customFormat="1" ht="14.25" x14ac:dyDescent="0.2">
      <c r="A44" s="293" t="s">
        <v>26</v>
      </c>
      <c r="B44" s="293"/>
      <c r="C44" s="295"/>
      <c r="D44" s="283"/>
      <c r="E44" s="283"/>
      <c r="F44" s="374">
        <f>(1457022.42-1457022.42)/1000</f>
        <v>0</v>
      </c>
      <c r="G44" s="374"/>
      <c r="H44" s="374"/>
      <c r="I44" s="379">
        <v>0</v>
      </c>
      <c r="J44" s="394"/>
      <c r="K44" s="394"/>
      <c r="L44" s="374">
        <v>-750</v>
      </c>
      <c r="M44" s="395"/>
      <c r="N44" s="394"/>
      <c r="O44" s="379">
        <v>-707</v>
      </c>
      <c r="Q44" s="455"/>
      <c r="R44" s="455"/>
      <c r="T44" s="455"/>
      <c r="U44" s="455"/>
    </row>
    <row r="45" spans="1:21" s="195" customFormat="1" ht="14.25" x14ac:dyDescent="0.2">
      <c r="A45" s="292" t="s">
        <v>1937</v>
      </c>
      <c r="B45" s="293"/>
      <c r="C45" s="295"/>
      <c r="D45" s="283"/>
      <c r="E45" s="283"/>
      <c r="F45" s="374">
        <f>(86411364.64-86411364.64)/1000</f>
        <v>0</v>
      </c>
      <c r="G45" s="374"/>
      <c r="H45" s="374"/>
      <c r="I45" s="379">
        <f>([8]Página1!$E$146-[8]Página1!$K$146)/1000</f>
        <v>0</v>
      </c>
      <c r="J45" s="394"/>
      <c r="K45" s="394"/>
      <c r="L45" s="374">
        <v>-80042</v>
      </c>
      <c r="M45" s="395"/>
      <c r="N45" s="394"/>
      <c r="O45" s="379">
        <v>-1642</v>
      </c>
      <c r="Q45" s="455"/>
      <c r="R45" s="455"/>
      <c r="S45" s="455"/>
      <c r="T45" s="455"/>
      <c r="U45" s="455"/>
    </row>
    <row r="46" spans="1:21" ht="14.25" x14ac:dyDescent="0.2">
      <c r="A46" s="292" t="s">
        <v>27</v>
      </c>
      <c r="B46" s="293"/>
      <c r="C46" s="295"/>
      <c r="D46" s="283"/>
      <c r="E46" s="283"/>
      <c r="F46" s="374">
        <f>(21558940.56-21682454.47)/1000</f>
        <v>-123.51391000000015</v>
      </c>
      <c r="G46" s="374"/>
      <c r="H46" s="374"/>
      <c r="I46" s="379">
        <f>([8]Página1!$K$667-[8]Página1!$E$667)/1000</f>
        <v>-115.68566999999993</v>
      </c>
      <c r="J46" s="394"/>
      <c r="K46" s="394"/>
      <c r="L46" s="379">
        <v>19463</v>
      </c>
      <c r="M46" s="395"/>
      <c r="N46" s="394"/>
      <c r="O46" s="379">
        <v>-490</v>
      </c>
      <c r="R46" s="200"/>
    </row>
    <row r="47" spans="1:21" ht="14.25" x14ac:dyDescent="0.2">
      <c r="A47" s="293" t="s">
        <v>28</v>
      </c>
      <c r="B47" s="293"/>
      <c r="C47" s="295"/>
      <c r="D47" s="283"/>
      <c r="E47" s="283"/>
      <c r="F47" s="374">
        <f>(4652545.85-4506073.93)/1000</f>
        <v>146.47191999999993</v>
      </c>
      <c r="G47" s="374"/>
      <c r="H47" s="374"/>
      <c r="I47" s="379">
        <f>([8]Página1!$K$672-[8]Página1!$E$672)/1000</f>
        <v>676.42353000000116</v>
      </c>
      <c r="J47" s="394"/>
      <c r="K47" s="394"/>
      <c r="L47" s="374">
        <v>-52465</v>
      </c>
      <c r="M47" s="395"/>
      <c r="N47" s="394"/>
      <c r="O47" s="386">
        <v>2498</v>
      </c>
      <c r="R47" s="200"/>
    </row>
    <row r="48" spans="1:21" ht="14.25" x14ac:dyDescent="0.2">
      <c r="A48" s="293" t="s">
        <v>1875</v>
      </c>
      <c r="B48" s="293"/>
      <c r="C48" s="295"/>
      <c r="D48" s="283"/>
      <c r="E48" s="283"/>
      <c r="F48" s="374">
        <v>0</v>
      </c>
      <c r="G48" s="374"/>
      <c r="H48" s="374"/>
      <c r="I48" s="379">
        <f>([8]Página1!$K$683-[8]Página1!$E$683)/1000</f>
        <v>-107.66122</v>
      </c>
      <c r="J48" s="394"/>
      <c r="K48" s="394"/>
      <c r="L48" s="374"/>
      <c r="M48" s="395"/>
      <c r="N48" s="394"/>
      <c r="O48" s="379">
        <v>-108</v>
      </c>
      <c r="R48" s="200"/>
    </row>
    <row r="49" spans="1:22" ht="14.25" x14ac:dyDescent="0.2">
      <c r="A49" s="293" t="s">
        <v>1441</v>
      </c>
      <c r="B49" s="293"/>
      <c r="C49" s="295"/>
      <c r="D49" s="283"/>
      <c r="E49" s="283"/>
      <c r="F49" s="374">
        <f>(37512697.07-39811173.88)/1000</f>
        <v>-2298.4768100000024</v>
      </c>
      <c r="G49" s="374"/>
      <c r="H49" s="374"/>
      <c r="I49" s="379">
        <f>([8]Página1!$K$678-[8]Página1!$E$678)/1000</f>
        <v>-2038.0492300000042</v>
      </c>
      <c r="J49" s="394"/>
      <c r="K49" s="394"/>
      <c r="L49" s="374">
        <v>-5268</v>
      </c>
      <c r="M49" s="395"/>
      <c r="N49" s="394"/>
      <c r="O49" s="379">
        <v>-6065</v>
      </c>
      <c r="R49" s="200"/>
      <c r="U49" s="196"/>
      <c r="V49" s="7"/>
    </row>
    <row r="50" spans="1:22" s="199" customFormat="1" ht="14.25" x14ac:dyDescent="0.2">
      <c r="A50" s="293" t="s">
        <v>1890</v>
      </c>
      <c r="B50" s="293"/>
      <c r="C50" s="295"/>
      <c r="D50" s="283"/>
      <c r="E50" s="283"/>
      <c r="F50" s="374">
        <f>(9221099.43-9221099.43)/1000</f>
        <v>0</v>
      </c>
      <c r="G50" s="374"/>
      <c r="H50" s="374"/>
      <c r="I50" s="379">
        <v>0</v>
      </c>
      <c r="J50" s="394"/>
      <c r="K50" s="394"/>
      <c r="L50" s="374">
        <f>([6]Página1!$K$773-[6]Página1!$E$773)/1000</f>
        <v>9221.0994300000002</v>
      </c>
      <c r="M50" s="395"/>
      <c r="N50" s="394"/>
      <c r="O50" s="384">
        <v>0</v>
      </c>
      <c r="R50" s="200"/>
      <c r="U50" s="196"/>
      <c r="V50" s="7"/>
    </row>
    <row r="51" spans="1:22" ht="14.25" x14ac:dyDescent="0.2">
      <c r="A51" s="293"/>
      <c r="B51" s="293"/>
      <c r="C51" s="293"/>
      <c r="D51" s="283"/>
      <c r="E51" s="283"/>
      <c r="F51" s="376"/>
      <c r="G51" s="375"/>
      <c r="H51" s="375"/>
      <c r="I51" s="384"/>
      <c r="J51" s="394"/>
      <c r="K51" s="394"/>
      <c r="L51" s="400"/>
      <c r="M51" s="395"/>
      <c r="N51" s="394"/>
      <c r="O51" s="384"/>
      <c r="R51" s="200"/>
      <c r="U51" s="196"/>
      <c r="V51" s="7"/>
    </row>
    <row r="52" spans="1:22" ht="15.75" thickBot="1" x14ac:dyDescent="0.3">
      <c r="A52" s="293" t="s">
        <v>29</v>
      </c>
      <c r="B52" s="293"/>
      <c r="C52" s="291"/>
      <c r="D52" s="283"/>
      <c r="E52" s="283"/>
      <c r="F52" s="381">
        <f>SUM(F53:F62)</f>
        <v>-1524.0092800000002</v>
      </c>
      <c r="G52" s="375"/>
      <c r="H52" s="375"/>
      <c r="I52" s="377">
        <f>SUM(I53:I62)</f>
        <v>1366.5176600000002</v>
      </c>
      <c r="J52" s="394"/>
      <c r="K52" s="394"/>
      <c r="L52" s="377">
        <f>SUM(L53:L62)</f>
        <v>34.310359999999093</v>
      </c>
      <c r="M52" s="395"/>
      <c r="N52" s="394"/>
      <c r="O52" s="377">
        <f>SUM(O53:O62)</f>
        <v>1404</v>
      </c>
      <c r="R52" s="200"/>
      <c r="U52" s="26"/>
    </row>
    <row r="53" spans="1:22" ht="14.25" x14ac:dyDescent="0.2">
      <c r="A53" s="293" t="s">
        <v>30</v>
      </c>
      <c r="B53" s="293"/>
      <c r="C53" s="295"/>
      <c r="D53" s="300"/>
      <c r="E53" s="300"/>
      <c r="F53" s="379">
        <f>(398114.82-1398606.07)/1000</f>
        <v>-1000.49125</v>
      </c>
      <c r="G53" s="374"/>
      <c r="H53" s="374"/>
      <c r="I53" s="401">
        <f>([8]Página1!$K$290-[8]Página1!$E$290)/1000</f>
        <v>664.69295000000011</v>
      </c>
      <c r="J53" s="394"/>
      <c r="K53" s="394"/>
      <c r="L53" s="379">
        <f>([6]Página1!$K$316-[6]Página1!$E$316)/1000</f>
        <v>-1233.6508299999998</v>
      </c>
      <c r="M53" s="395"/>
      <c r="N53" s="394"/>
      <c r="O53" s="386">
        <v>849</v>
      </c>
      <c r="R53" s="200"/>
    </row>
    <row r="54" spans="1:22" ht="14.25" x14ac:dyDescent="0.2">
      <c r="A54" s="293" t="s">
        <v>31</v>
      </c>
      <c r="B54" s="293"/>
      <c r="C54" s="295"/>
      <c r="D54" s="300"/>
      <c r="E54" s="300"/>
      <c r="F54" s="379">
        <f>(2680191.75-3481943.86)/1000</f>
        <v>-801.7521099999999</v>
      </c>
      <c r="G54" s="374"/>
      <c r="H54" s="374"/>
      <c r="I54" s="379">
        <f>([8]Página1!$K$371-[8]Página1!$E$371)/1000</f>
        <v>-166.84174999999999</v>
      </c>
      <c r="J54" s="394"/>
      <c r="K54" s="394"/>
      <c r="L54" s="379">
        <f>([6]Página1!$K$447-[6]Página1!$E$447)/1000</f>
        <v>-100.6347200000002</v>
      </c>
      <c r="M54" s="395"/>
      <c r="N54" s="394"/>
      <c r="O54" s="386">
        <v>671</v>
      </c>
      <c r="R54" s="200"/>
      <c r="U54" s="196"/>
      <c r="V54" s="7"/>
    </row>
    <row r="55" spans="1:22" ht="14.25" x14ac:dyDescent="0.2">
      <c r="A55" s="293" t="s">
        <v>32</v>
      </c>
      <c r="B55" s="293"/>
      <c r="C55" s="295"/>
      <c r="D55" s="283"/>
      <c r="E55" s="283"/>
      <c r="F55" s="374">
        <f>(4928944.02-4516704.93)/1000</f>
        <v>412.23908999999986</v>
      </c>
      <c r="G55" s="374"/>
      <c r="H55" s="374"/>
      <c r="I55" s="379">
        <f>([8]Página1!$K$411-[8]Página1!$E$411)/1000</f>
        <v>-13.141429999999701</v>
      </c>
      <c r="J55" s="394"/>
      <c r="K55" s="394"/>
      <c r="L55" s="379">
        <f>([6]Página1!$K$493-[6]Página1!$E$493)/1000</f>
        <v>208.06507999999914</v>
      </c>
      <c r="M55" s="395"/>
      <c r="N55" s="394"/>
      <c r="O55" s="379">
        <v>-199</v>
      </c>
      <c r="U55" s="196"/>
      <c r="V55" s="7"/>
    </row>
    <row r="56" spans="1:22" ht="14.25" x14ac:dyDescent="0.2">
      <c r="A56" s="293" t="s">
        <v>33</v>
      </c>
      <c r="B56" s="293"/>
      <c r="C56" s="295"/>
      <c r="D56" s="283"/>
      <c r="E56" s="283"/>
      <c r="F56" s="379">
        <f>(4168598.59-3565150.4)/1000-45</f>
        <v>558.44818999999995</v>
      </c>
      <c r="G56" s="374"/>
      <c r="H56" s="374"/>
      <c r="I56" s="401">
        <v>445</v>
      </c>
      <c r="J56" s="394"/>
      <c r="K56" s="394"/>
      <c r="L56" s="379">
        <v>437</v>
      </c>
      <c r="M56" s="395"/>
      <c r="N56" s="394"/>
      <c r="O56" s="386">
        <v>494</v>
      </c>
      <c r="Q56" s="200"/>
      <c r="U56" s="26"/>
      <c r="V56" s="26"/>
    </row>
    <row r="57" spans="1:22" ht="14.25" x14ac:dyDescent="0.2">
      <c r="A57" s="293" t="s">
        <v>34</v>
      </c>
      <c r="B57" s="293"/>
      <c r="C57" s="295"/>
      <c r="D57" s="283"/>
      <c r="E57" s="283"/>
      <c r="F57" s="374">
        <f>(445565.83-240593.07)/1000</f>
        <v>204.97276000000002</v>
      </c>
      <c r="G57" s="374"/>
      <c r="H57" s="374"/>
      <c r="I57" s="401">
        <f>([8]Página1!$K$394-[8]Página1!$E$394)/1000</f>
        <v>12.121309999999998</v>
      </c>
      <c r="J57" s="394"/>
      <c r="K57" s="394"/>
      <c r="L57" s="379">
        <f>([6]Página1!$K$473-[6]Página1!$E$473)/1000</f>
        <v>58.805989999999994</v>
      </c>
      <c r="M57" s="395"/>
      <c r="N57" s="394"/>
      <c r="O57" s="379">
        <v>10</v>
      </c>
      <c r="Q57" s="200"/>
      <c r="U57" s="26"/>
      <c r="V57" s="7"/>
    </row>
    <row r="58" spans="1:22" ht="14.25" x14ac:dyDescent="0.2">
      <c r="A58" s="293" t="s">
        <v>35</v>
      </c>
      <c r="B58" s="293"/>
      <c r="C58" s="295"/>
      <c r="D58" s="283"/>
      <c r="E58" s="283"/>
      <c r="F58" s="374">
        <f>(2204434.83-3161013.48)/1000</f>
        <v>-956.57864999999993</v>
      </c>
      <c r="G58" s="374"/>
      <c r="H58" s="374"/>
      <c r="I58" s="401">
        <f>([8]Página1!$K$650-[8]Página1!$E$650)/1000</f>
        <v>317.03687999999988</v>
      </c>
      <c r="J58" s="394"/>
      <c r="K58" s="394"/>
      <c r="L58" s="379">
        <f>([6]Página1!$K$742-[6]Página1!$E$742)/1000</f>
        <v>151.77606000000006</v>
      </c>
      <c r="M58" s="395"/>
      <c r="N58" s="394"/>
      <c r="O58" s="386">
        <v>-119</v>
      </c>
      <c r="U58" s="26"/>
      <c r="V58" s="26"/>
    </row>
    <row r="59" spans="1:22" ht="13.5" customHeight="1" x14ac:dyDescent="0.2">
      <c r="A59" s="293" t="s">
        <v>1911</v>
      </c>
      <c r="B59" s="293"/>
      <c r="C59" s="295"/>
      <c r="D59" s="283"/>
      <c r="E59" s="283"/>
      <c r="F59" s="379">
        <f>(1682450.93-1637464.12)/1000</f>
        <v>44.986809999999821</v>
      </c>
      <c r="G59" s="374"/>
      <c r="H59" s="374"/>
      <c r="I59" s="401">
        <v>0</v>
      </c>
      <c r="J59" s="394"/>
      <c r="K59" s="394"/>
      <c r="L59" s="379">
        <v>167</v>
      </c>
      <c r="M59" s="395"/>
      <c r="N59" s="394"/>
      <c r="O59" s="386">
        <v>0</v>
      </c>
      <c r="S59" s="229"/>
    </row>
    <row r="60" spans="1:22" ht="14.25" x14ac:dyDescent="0.2">
      <c r="A60" s="293" t="s">
        <v>37</v>
      </c>
      <c r="B60" s="293"/>
      <c r="C60" s="295"/>
      <c r="D60" s="283"/>
      <c r="E60" s="283"/>
      <c r="F60" s="374">
        <f>(14445.24-14439.79)/1000</f>
        <v>5.4499999999989088E-3</v>
      </c>
      <c r="G60" s="374"/>
      <c r="H60" s="374"/>
      <c r="I60" s="379">
        <f>([8]Página1!$K$638-[8]Página1!$E$638)/1000</f>
        <v>-1.1520000000018626E-2</v>
      </c>
      <c r="J60" s="394"/>
      <c r="K60" s="394"/>
      <c r="L60" s="379">
        <v>203</v>
      </c>
      <c r="M60" s="395"/>
      <c r="N60" s="394"/>
      <c r="O60" s="386">
        <v>0</v>
      </c>
      <c r="U60" s="26"/>
    </row>
    <row r="61" spans="1:22" ht="14.25" x14ac:dyDescent="0.2">
      <c r="A61" s="293" t="s">
        <v>38</v>
      </c>
      <c r="B61" s="293"/>
      <c r="C61" s="296"/>
      <c r="D61" s="283"/>
      <c r="E61" s="283"/>
      <c r="F61" s="374">
        <f>(352166.06-338005.63)/1000</f>
        <v>14.160429999999993</v>
      </c>
      <c r="G61" s="374"/>
      <c r="H61" s="374"/>
      <c r="I61" s="379">
        <f>([8]Página1!$K$643-[8]Página1!$E$643)/1000</f>
        <v>107.66121999999997</v>
      </c>
      <c r="J61" s="394"/>
      <c r="K61" s="394"/>
      <c r="L61" s="374">
        <f>([6]Página1!$K$732-[6]Página1!$E$732)/1000</f>
        <v>102.94878</v>
      </c>
      <c r="M61" s="395"/>
      <c r="N61" s="394"/>
      <c r="O61" s="386">
        <v>-302</v>
      </c>
    </row>
    <row r="62" spans="1:22" s="199" customFormat="1" ht="14.25" x14ac:dyDescent="0.2">
      <c r="A62" s="293" t="s">
        <v>1891</v>
      </c>
      <c r="B62" s="293"/>
      <c r="C62" s="296"/>
      <c r="D62" s="283"/>
      <c r="E62" s="283"/>
      <c r="F62" s="374">
        <f>(40000-40000)/1000</f>
        <v>0</v>
      </c>
      <c r="G62" s="374"/>
      <c r="H62" s="374"/>
      <c r="I62" s="379">
        <v>0</v>
      </c>
      <c r="J62" s="394"/>
      <c r="K62" s="394"/>
      <c r="L62" s="374">
        <f>([6]Página1!$K$739-[6]Página1!$E$739)/1000</f>
        <v>40</v>
      </c>
      <c r="M62" s="395"/>
      <c r="N62" s="394"/>
      <c r="O62" s="384">
        <v>0</v>
      </c>
    </row>
    <row r="63" spans="1:22" ht="14.25" x14ac:dyDescent="0.2">
      <c r="A63" s="293"/>
      <c r="B63" s="293"/>
      <c r="C63" s="293"/>
      <c r="D63" s="283"/>
      <c r="E63" s="283"/>
      <c r="F63" s="376"/>
      <c r="G63" s="375"/>
      <c r="H63" s="375"/>
      <c r="I63" s="384"/>
      <c r="J63" s="394"/>
      <c r="K63" s="394"/>
      <c r="L63" s="400"/>
      <c r="M63" s="395"/>
      <c r="N63" s="394"/>
      <c r="O63" s="384"/>
    </row>
    <row r="64" spans="1:22" ht="15" x14ac:dyDescent="0.25">
      <c r="A64" s="266" t="s">
        <v>39</v>
      </c>
      <c r="B64" s="301"/>
      <c r="C64" s="291"/>
      <c r="D64" s="283"/>
      <c r="E64" s="283"/>
      <c r="F64" s="382">
        <f>SUM(F66:F71)</f>
        <v>-1727.88491</v>
      </c>
      <c r="G64" s="383"/>
      <c r="H64" s="383"/>
      <c r="I64" s="382">
        <f>SUM(I66:I71)</f>
        <v>-247</v>
      </c>
      <c r="J64" s="402"/>
      <c r="K64" s="402"/>
      <c r="L64" s="403">
        <f>SUM(L66:L71)</f>
        <v>-5433</v>
      </c>
      <c r="M64" s="404"/>
      <c r="N64" s="402"/>
      <c r="O64" s="382">
        <v>-1171</v>
      </c>
    </row>
    <row r="65" spans="1:19" ht="14.25" x14ac:dyDescent="0.2">
      <c r="A65" s="293"/>
      <c r="B65" s="293"/>
      <c r="C65" s="293"/>
      <c r="D65" s="283"/>
      <c r="E65" s="283"/>
      <c r="F65" s="374"/>
      <c r="G65" s="374"/>
      <c r="H65" s="374"/>
      <c r="I65" s="379"/>
      <c r="J65" s="394"/>
      <c r="K65" s="394"/>
      <c r="L65" s="400"/>
      <c r="M65" s="395"/>
      <c r="N65" s="394"/>
      <c r="O65" s="384"/>
    </row>
    <row r="66" spans="1:19" ht="14.25" x14ac:dyDescent="0.2">
      <c r="A66" s="293" t="s">
        <v>40</v>
      </c>
      <c r="B66" s="293"/>
      <c r="C66" s="293"/>
      <c r="D66" s="283"/>
      <c r="E66" s="283"/>
      <c r="F66" s="379">
        <f>(31535.36-26428.94)/1000</f>
        <v>5.1064200000000017</v>
      </c>
      <c r="G66" s="374"/>
      <c r="H66" s="374"/>
      <c r="I66" s="379">
        <v>0</v>
      </c>
      <c r="J66" s="394"/>
      <c r="K66" s="394"/>
      <c r="L66" s="374">
        <v>5</v>
      </c>
      <c r="M66" s="395"/>
      <c r="N66" s="394"/>
      <c r="O66" s="379">
        <v>-20</v>
      </c>
      <c r="S66" s="196"/>
    </row>
    <row r="67" spans="1:19" ht="14.25" x14ac:dyDescent="0.2">
      <c r="A67" s="293" t="s">
        <v>41</v>
      </c>
      <c r="B67" s="293"/>
      <c r="C67" s="295"/>
      <c r="D67" s="283"/>
      <c r="E67" s="283"/>
      <c r="F67" s="374">
        <f>-(1785426.82-52435.49)/1000</f>
        <v>-1732.9913300000001</v>
      </c>
      <c r="G67" s="374"/>
      <c r="H67" s="374"/>
      <c r="I67" s="379">
        <f>-[8]Página1!$G$155/1000</f>
        <v>-247</v>
      </c>
      <c r="J67" s="394"/>
      <c r="K67" s="394"/>
      <c r="L67" s="374">
        <f>-5134-1733</f>
        <v>-6867</v>
      </c>
      <c r="M67" s="395"/>
      <c r="N67" s="394"/>
      <c r="O67" s="379">
        <v>-1167</v>
      </c>
      <c r="R67" s="200"/>
      <c r="S67" s="357"/>
    </row>
    <row r="68" spans="1:19" ht="14.25" x14ac:dyDescent="0.2">
      <c r="A68" s="293" t="s">
        <v>42</v>
      </c>
      <c r="B68" s="293"/>
      <c r="C68" s="295"/>
      <c r="D68" s="283"/>
      <c r="E68" s="283"/>
      <c r="F68" s="374">
        <v>0</v>
      </c>
      <c r="G68" s="374"/>
      <c r="H68" s="374"/>
      <c r="I68" s="379">
        <v>0</v>
      </c>
      <c r="J68" s="394"/>
      <c r="K68" s="394"/>
      <c r="L68" s="387"/>
      <c r="M68" s="395"/>
      <c r="N68" s="394"/>
      <c r="O68" s="379">
        <v>15</v>
      </c>
      <c r="R68" s="200"/>
    </row>
    <row r="69" spans="1:19" ht="14.25" x14ac:dyDescent="0.2">
      <c r="A69" s="293" t="s">
        <v>1597</v>
      </c>
      <c r="B69" s="293"/>
      <c r="C69" s="294"/>
      <c r="D69" s="295"/>
      <c r="E69" s="295"/>
      <c r="F69" s="374">
        <v>0</v>
      </c>
      <c r="G69" s="374"/>
      <c r="H69" s="374"/>
      <c r="I69" s="379">
        <v>0</v>
      </c>
      <c r="J69" s="405"/>
      <c r="K69" s="394"/>
      <c r="L69" s="374">
        <v>1429</v>
      </c>
      <c r="M69" s="395"/>
      <c r="N69" s="394"/>
      <c r="O69" s="379">
        <v>0</v>
      </c>
    </row>
    <row r="70" spans="1:19" ht="14.25" x14ac:dyDescent="0.2">
      <c r="A70" s="293" t="s">
        <v>43</v>
      </c>
      <c r="B70" s="293"/>
      <c r="C70" s="295"/>
      <c r="D70" s="283"/>
      <c r="E70" s="283"/>
      <c r="F70" s="374">
        <v>0</v>
      </c>
      <c r="G70" s="374"/>
      <c r="H70" s="374"/>
      <c r="I70" s="379">
        <v>0</v>
      </c>
      <c r="J70" s="394"/>
      <c r="K70" s="394"/>
      <c r="L70" s="374">
        <f>7809896.18-7809896.18</f>
        <v>0</v>
      </c>
      <c r="M70" s="395"/>
      <c r="N70" s="394"/>
      <c r="O70" s="379">
        <v>0</v>
      </c>
      <c r="R70" s="200"/>
    </row>
    <row r="71" spans="1:19" ht="14.25" hidden="1" x14ac:dyDescent="0.2">
      <c r="A71" s="293" t="s">
        <v>44</v>
      </c>
      <c r="B71" s="293"/>
      <c r="C71" s="296"/>
      <c r="D71" s="283"/>
      <c r="E71" s="283"/>
      <c r="F71" s="374"/>
      <c r="G71" s="374"/>
      <c r="H71" s="374"/>
      <c r="I71" s="379">
        <v>0</v>
      </c>
      <c r="J71" s="394"/>
      <c r="K71" s="394"/>
      <c r="L71" s="387"/>
      <c r="M71" s="395"/>
      <c r="N71" s="394"/>
      <c r="O71" s="379"/>
    </row>
    <row r="72" spans="1:19" ht="14.25" x14ac:dyDescent="0.2">
      <c r="A72" s="293"/>
      <c r="B72" s="293"/>
      <c r="C72" s="293"/>
      <c r="D72" s="283"/>
      <c r="E72" s="283"/>
      <c r="F72" s="374"/>
      <c r="G72" s="374"/>
      <c r="H72" s="374"/>
      <c r="I72" s="379"/>
      <c r="J72" s="394"/>
      <c r="K72" s="394"/>
      <c r="L72" s="400"/>
      <c r="M72" s="395"/>
      <c r="N72" s="394"/>
      <c r="O72" s="384"/>
    </row>
    <row r="73" spans="1:19" ht="15" x14ac:dyDescent="0.25">
      <c r="A73" s="266" t="s">
        <v>46</v>
      </c>
      <c r="B73" s="301"/>
      <c r="C73" s="291"/>
      <c r="D73" s="283"/>
      <c r="E73" s="283"/>
      <c r="F73" s="377">
        <f>SUM(F75:F81)</f>
        <v>3232.6104</v>
      </c>
      <c r="G73" s="375"/>
      <c r="H73" s="375"/>
      <c r="I73" s="372">
        <f>SUM(I75:I81)</f>
        <v>1134.59548</v>
      </c>
      <c r="J73" s="394"/>
      <c r="K73" s="394"/>
      <c r="L73" s="378">
        <f>SUM(L75:L81)</f>
        <v>63807.180609999981</v>
      </c>
      <c r="M73" s="395"/>
      <c r="N73" s="394"/>
      <c r="O73" s="372">
        <v>13538</v>
      </c>
      <c r="R73" s="12"/>
    </row>
    <row r="74" spans="1:19" ht="14.25" x14ac:dyDescent="0.2">
      <c r="A74" s="293"/>
      <c r="B74" s="293"/>
      <c r="C74" s="293"/>
      <c r="D74" s="283"/>
      <c r="E74" s="283"/>
      <c r="F74" s="376"/>
      <c r="G74" s="375"/>
      <c r="H74" s="375"/>
      <c r="I74" s="384"/>
      <c r="J74" s="394"/>
      <c r="K74" s="394"/>
      <c r="L74" s="400"/>
      <c r="M74" s="395"/>
      <c r="N74" s="394"/>
      <c r="O74" s="384"/>
      <c r="R74" s="358"/>
    </row>
    <row r="75" spans="1:19" ht="14.25" x14ac:dyDescent="0.2">
      <c r="A75" s="293" t="s">
        <v>1907</v>
      </c>
      <c r="B75" s="293"/>
      <c r="C75" s="296"/>
      <c r="D75" s="283"/>
      <c r="E75" s="283"/>
      <c r="F75" s="374">
        <v>0</v>
      </c>
      <c r="G75" s="375"/>
      <c r="H75" s="375"/>
      <c r="I75" s="384"/>
      <c r="J75" s="394"/>
      <c r="K75" s="394"/>
      <c r="L75" s="374">
        <f>([6]Página1!$K$797-[6]Página1!$E$797)/1000</f>
        <v>-6311.93066</v>
      </c>
      <c r="M75" s="395"/>
      <c r="N75" s="394"/>
      <c r="O75" s="384">
        <v>0</v>
      </c>
      <c r="R75" s="358"/>
    </row>
    <row r="76" spans="1:19" s="195" customFormat="1" ht="14.25" x14ac:dyDescent="0.2">
      <c r="A76" s="293" t="s">
        <v>47</v>
      </c>
      <c r="B76" s="293"/>
      <c r="C76" s="296"/>
      <c r="D76" s="283"/>
      <c r="E76" s="283"/>
      <c r="F76" s="385"/>
      <c r="G76" s="375"/>
      <c r="H76" s="375"/>
      <c r="I76" s="384"/>
      <c r="J76" s="394"/>
      <c r="K76" s="394"/>
      <c r="L76" s="374">
        <f>([6]Página1!$K$786-[6]Página1!$E$786)/1000</f>
        <v>60832.111269999979</v>
      </c>
      <c r="M76" s="395"/>
      <c r="N76" s="394"/>
      <c r="O76" s="384">
        <v>4177</v>
      </c>
      <c r="R76" s="358"/>
    </row>
    <row r="77" spans="1:19" ht="14.25" x14ac:dyDescent="0.2">
      <c r="A77" s="293" t="s">
        <v>48</v>
      </c>
      <c r="B77" s="293"/>
      <c r="C77" s="302"/>
      <c r="D77" s="283"/>
      <c r="E77" s="283"/>
      <c r="F77" s="379">
        <f>54588.4/1000</f>
        <v>54.5884</v>
      </c>
      <c r="G77" s="375"/>
      <c r="H77" s="375"/>
      <c r="I77" s="379">
        <f>([8]Página1!$K$697-[8]Página1!$E$697)/1000</f>
        <v>18.595479999999981</v>
      </c>
      <c r="J77" s="394"/>
      <c r="K77" s="394"/>
      <c r="L77" s="374">
        <v>194</v>
      </c>
      <c r="M77" s="395"/>
      <c r="N77" s="394"/>
      <c r="O77" s="386">
        <v>66</v>
      </c>
    </row>
    <row r="78" spans="1:19" ht="14.25" x14ac:dyDescent="0.2">
      <c r="A78" s="293" t="s">
        <v>1423</v>
      </c>
      <c r="B78" s="293"/>
      <c r="C78" s="296"/>
      <c r="D78" s="297"/>
      <c r="E78" s="297"/>
      <c r="F78" s="379">
        <f>2137022/1000</f>
        <v>2137.0219999999999</v>
      </c>
      <c r="G78" s="375"/>
      <c r="H78" s="375"/>
      <c r="I78" s="379">
        <v>1116</v>
      </c>
      <c r="J78" s="394"/>
      <c r="K78" s="394"/>
      <c r="L78" s="374">
        <v>4634</v>
      </c>
      <c r="M78" s="395"/>
      <c r="N78" s="394"/>
      <c r="O78" s="386">
        <v>4250</v>
      </c>
    </row>
    <row r="79" spans="1:19" ht="14.25" x14ac:dyDescent="0.2">
      <c r="A79" s="293" t="s">
        <v>1440</v>
      </c>
      <c r="B79" s="293"/>
      <c r="C79" s="296"/>
      <c r="D79" s="283"/>
      <c r="E79" s="283"/>
      <c r="F79" s="379">
        <v>1041</v>
      </c>
      <c r="G79" s="375"/>
      <c r="H79" s="375"/>
      <c r="I79" s="379">
        <v>0</v>
      </c>
      <c r="J79" s="394"/>
      <c r="K79" s="394"/>
      <c r="L79" s="374">
        <v>4459</v>
      </c>
      <c r="M79" s="395"/>
      <c r="N79" s="394"/>
      <c r="O79" s="386">
        <v>5046</v>
      </c>
    </row>
    <row r="80" spans="1:19" ht="14.25" hidden="1" x14ac:dyDescent="0.2">
      <c r="A80" s="293"/>
      <c r="B80" s="293"/>
      <c r="C80" s="302"/>
      <c r="D80" s="283"/>
      <c r="E80" s="283"/>
      <c r="F80" s="379"/>
      <c r="G80" s="375"/>
      <c r="H80" s="375"/>
      <c r="I80" s="379"/>
      <c r="J80" s="394"/>
      <c r="K80" s="394"/>
      <c r="L80" s="387"/>
      <c r="M80" s="395"/>
      <c r="N80" s="394"/>
      <c r="O80" s="379"/>
    </row>
    <row r="81" spans="1:18" ht="14.25" hidden="1" x14ac:dyDescent="0.2">
      <c r="A81" s="293"/>
      <c r="B81" s="293"/>
      <c r="C81" s="296"/>
      <c r="D81" s="283"/>
      <c r="E81" s="283"/>
      <c r="F81" s="379"/>
      <c r="G81" s="375"/>
      <c r="H81" s="375"/>
      <c r="I81" s="379"/>
      <c r="J81" s="394"/>
      <c r="K81" s="394"/>
      <c r="L81" s="387"/>
      <c r="M81" s="395"/>
      <c r="N81" s="394"/>
      <c r="O81" s="379"/>
    </row>
    <row r="82" spans="1:18" ht="14.25" x14ac:dyDescent="0.2">
      <c r="A82" s="293"/>
      <c r="B82" s="293"/>
      <c r="C82" s="293"/>
      <c r="D82" s="283"/>
      <c r="E82" s="283"/>
      <c r="F82" s="384"/>
      <c r="G82" s="375"/>
      <c r="H82" s="375"/>
      <c r="I82" s="384"/>
      <c r="J82" s="394"/>
      <c r="K82" s="394"/>
      <c r="L82" s="400"/>
      <c r="M82" s="395"/>
      <c r="N82" s="394"/>
      <c r="O82" s="384"/>
    </row>
    <row r="83" spans="1:18" ht="15" customHeight="1" x14ac:dyDescent="0.25">
      <c r="A83" s="266" t="s">
        <v>49</v>
      </c>
      <c r="B83" s="303"/>
      <c r="C83" s="304"/>
      <c r="D83" s="283"/>
      <c r="E83" s="283"/>
      <c r="F83" s="388">
        <f>F86-F85</f>
        <v>368</v>
      </c>
      <c r="G83" s="375"/>
      <c r="H83" s="375"/>
      <c r="I83" s="388">
        <f>I86-I85</f>
        <v>5094.7944299999981</v>
      </c>
      <c r="J83" s="394"/>
      <c r="K83" s="394"/>
      <c r="L83" s="389">
        <f>L86-L85</f>
        <v>13845.785349999998</v>
      </c>
      <c r="M83" s="395"/>
      <c r="N83" s="394"/>
      <c r="O83" s="388">
        <f>O86-O85</f>
        <v>14592.067710000001</v>
      </c>
    </row>
    <row r="84" spans="1:18" ht="15" x14ac:dyDescent="0.25">
      <c r="A84" s="266"/>
      <c r="B84" s="283"/>
      <c r="C84" s="293"/>
      <c r="D84" s="283"/>
      <c r="E84" s="283"/>
      <c r="F84" s="376"/>
      <c r="G84" s="375"/>
      <c r="H84" s="375"/>
      <c r="I84" s="384"/>
      <c r="J84" s="394"/>
      <c r="K84" s="394"/>
      <c r="L84" s="396"/>
      <c r="M84" s="395"/>
      <c r="N84" s="394"/>
      <c r="O84" s="384"/>
      <c r="R84" s="200"/>
    </row>
    <row r="85" spans="1:18" ht="15" x14ac:dyDescent="0.25">
      <c r="A85" s="293" t="s">
        <v>50</v>
      </c>
      <c r="B85" s="293"/>
      <c r="C85" s="294"/>
      <c r="D85" s="283"/>
      <c r="E85" s="283"/>
      <c r="F85" s="390">
        <v>39077</v>
      </c>
      <c r="G85" s="375"/>
      <c r="H85" s="375"/>
      <c r="I85" s="380">
        <f>([8]Página1!$E$8/1000)</f>
        <v>14912.266250000001</v>
      </c>
      <c r="J85" s="394"/>
      <c r="K85" s="394"/>
      <c r="L85" s="391">
        <f>ATIVO!G25</f>
        <v>25598.96284</v>
      </c>
      <c r="M85" s="395"/>
      <c r="N85" s="394"/>
      <c r="O85" s="380">
        <f>[9]Página1!$E$8/1000</f>
        <v>11006.932289999999</v>
      </c>
      <c r="Q85" s="26"/>
      <c r="R85" s="136"/>
    </row>
    <row r="86" spans="1:18" ht="15" x14ac:dyDescent="0.25">
      <c r="A86" s="293" t="s">
        <v>51</v>
      </c>
      <c r="B86" s="293"/>
      <c r="C86" s="294"/>
      <c r="D86" s="283"/>
      <c r="E86" s="283"/>
      <c r="F86" s="391">
        <v>39445</v>
      </c>
      <c r="G86" s="375"/>
      <c r="H86" s="375"/>
      <c r="I86" s="380">
        <f>[8]Página1!$K$8/1000</f>
        <v>20007.060679999999</v>
      </c>
      <c r="J86" s="394"/>
      <c r="K86" s="394"/>
      <c r="L86" s="391">
        <f>ATIVO!E25</f>
        <v>39444.748189999998</v>
      </c>
      <c r="M86" s="395"/>
      <c r="N86" s="394"/>
      <c r="O86" s="380">
        <v>25599</v>
      </c>
      <c r="R86" s="206"/>
    </row>
    <row r="87" spans="1:18" ht="14.25" x14ac:dyDescent="0.2">
      <c r="A87" s="293"/>
      <c r="B87" s="293"/>
      <c r="C87" s="293"/>
      <c r="D87" s="283"/>
      <c r="E87" s="283"/>
      <c r="F87" s="376"/>
      <c r="G87" s="375"/>
      <c r="H87" s="375"/>
      <c r="I87" s="384"/>
      <c r="J87" s="394"/>
      <c r="K87" s="394"/>
      <c r="L87" s="400"/>
      <c r="M87" s="395"/>
      <c r="N87" s="394"/>
      <c r="O87" s="384"/>
      <c r="Q87" s="12"/>
      <c r="R87" s="26"/>
    </row>
    <row r="88" spans="1:18" ht="15" x14ac:dyDescent="0.25">
      <c r="A88" s="266" t="s">
        <v>52</v>
      </c>
      <c r="B88" s="301"/>
      <c r="C88" s="305"/>
      <c r="D88" s="283"/>
      <c r="E88" s="283"/>
      <c r="F88" s="392">
        <f>F73+F64+F16</f>
        <v>367.70663999999965</v>
      </c>
      <c r="G88" s="392"/>
      <c r="H88" s="375"/>
      <c r="I88" s="392">
        <f>I73+I64+I16</f>
        <v>5094.59548</v>
      </c>
      <c r="J88" s="394"/>
      <c r="K88" s="394"/>
      <c r="L88" s="393">
        <f>L73+L64+L16</f>
        <v>13846.603859999988</v>
      </c>
      <c r="M88" s="395"/>
      <c r="N88" s="394"/>
      <c r="O88" s="392">
        <f>O73+O64+O16</f>
        <v>14592.153920000001</v>
      </c>
      <c r="Q88" s="26"/>
    </row>
    <row r="89" spans="1:18" ht="14.25" x14ac:dyDescent="0.2">
      <c r="A89" s="293"/>
      <c r="B89" s="293"/>
      <c r="C89" s="293"/>
      <c r="D89" s="283"/>
      <c r="E89" s="283"/>
      <c r="F89" s="306"/>
      <c r="G89" s="283"/>
      <c r="H89" s="283"/>
      <c r="I89" s="306"/>
      <c r="J89" s="283"/>
      <c r="K89" s="283"/>
      <c r="L89" s="295"/>
      <c r="M89" s="283"/>
      <c r="N89" s="283"/>
      <c r="O89" s="283"/>
      <c r="Q89" s="26"/>
    </row>
    <row r="90" spans="1:18" ht="14.25" x14ac:dyDescent="0.2">
      <c r="A90" s="487"/>
      <c r="B90" s="488"/>
      <c r="C90" s="488"/>
      <c r="D90" s="488"/>
      <c r="E90" s="488"/>
      <c r="F90" s="488"/>
      <c r="G90" s="488"/>
      <c r="H90" s="488"/>
      <c r="I90" s="488"/>
      <c r="J90" s="488"/>
      <c r="K90" s="488"/>
      <c r="L90" s="488"/>
      <c r="M90" s="488"/>
      <c r="N90" s="488"/>
      <c r="O90" s="488"/>
      <c r="Q90" s="26"/>
    </row>
    <row r="91" spans="1:18" ht="15" customHeight="1" x14ac:dyDescent="0.2">
      <c r="A91" s="489" t="s">
        <v>53</v>
      </c>
      <c r="B91" s="489"/>
      <c r="C91" s="489"/>
      <c r="D91" s="489"/>
      <c r="E91" s="489"/>
      <c r="F91" s="489"/>
      <c r="G91" s="489"/>
      <c r="H91" s="489"/>
      <c r="I91" s="489"/>
      <c r="J91" s="489"/>
      <c r="K91" s="489"/>
      <c r="L91" s="489"/>
      <c r="M91" s="489"/>
      <c r="N91" s="281"/>
      <c r="O91" s="308"/>
      <c r="R91" s="12"/>
    </row>
    <row r="92" spans="1:18" x14ac:dyDescent="0.2">
      <c r="A92" s="283"/>
      <c r="B92" s="283"/>
      <c r="C92" s="283"/>
      <c r="D92" s="283"/>
      <c r="E92" s="283"/>
      <c r="F92" s="307"/>
      <c r="G92" s="283"/>
      <c r="H92" s="283"/>
      <c r="I92" s="307"/>
      <c r="J92" s="283"/>
      <c r="K92" s="283"/>
      <c r="L92" s="308"/>
      <c r="M92" s="281"/>
      <c r="N92" s="281"/>
      <c r="O92" s="307"/>
      <c r="R92" s="12"/>
    </row>
    <row r="93" spans="1:18" x14ac:dyDescent="0.2">
      <c r="A93" s="283"/>
      <c r="B93" s="283"/>
      <c r="C93" s="283"/>
      <c r="D93" s="283"/>
      <c r="E93" s="283"/>
      <c r="F93" s="202"/>
      <c r="G93" s="309"/>
      <c r="H93" s="309"/>
      <c r="I93" s="309"/>
      <c r="J93" s="309"/>
      <c r="K93" s="309"/>
      <c r="L93" s="308"/>
      <c r="M93" s="310"/>
      <c r="N93" s="310"/>
      <c r="O93" s="309"/>
    </row>
    <row r="94" spans="1:18" x14ac:dyDescent="0.2">
      <c r="A94" s="283"/>
      <c r="B94" s="283"/>
      <c r="C94" s="283"/>
      <c r="D94" s="283"/>
      <c r="E94" s="283"/>
      <c r="F94" s="311"/>
      <c r="G94" s="283"/>
      <c r="H94" s="283"/>
      <c r="I94" s="307"/>
      <c r="J94" s="283"/>
      <c r="K94" s="283"/>
      <c r="L94" s="308"/>
      <c r="M94" s="281"/>
      <c r="N94" s="281"/>
      <c r="O94" s="281"/>
    </row>
    <row r="95" spans="1:18" x14ac:dyDescent="0.2">
      <c r="A95" s="189"/>
      <c r="B95" s="189"/>
      <c r="C95" s="189"/>
      <c r="D95" s="189"/>
      <c r="E95" s="189"/>
      <c r="F95" s="187"/>
      <c r="G95" s="189"/>
      <c r="H95" s="189"/>
      <c r="I95" s="189"/>
      <c r="J95" s="189"/>
      <c r="K95" s="189"/>
    </row>
    <row r="96" spans="1:18" x14ac:dyDescent="0.2">
      <c r="A96" s="189"/>
      <c r="B96" s="189"/>
      <c r="C96" s="189"/>
      <c r="D96" s="189"/>
      <c r="E96" s="189"/>
      <c r="F96" s="187"/>
      <c r="G96" s="189"/>
      <c r="H96" s="189"/>
      <c r="I96" s="189"/>
      <c r="J96" s="189"/>
      <c r="K96" s="189"/>
    </row>
    <row r="97" spans="1:13" x14ac:dyDescent="0.2">
      <c r="A97" s="189"/>
      <c r="B97" s="189"/>
      <c r="C97" s="189"/>
      <c r="D97" s="189"/>
      <c r="E97" s="189"/>
      <c r="F97" s="187"/>
      <c r="G97" s="189"/>
      <c r="H97" s="189"/>
      <c r="I97" s="189"/>
      <c r="J97" s="189"/>
      <c r="K97" s="189"/>
    </row>
    <row r="98" spans="1:13" x14ac:dyDescent="0.2">
      <c r="A98" s="189"/>
      <c r="B98" s="189"/>
      <c r="C98" s="189"/>
      <c r="D98" s="189"/>
      <c r="E98" s="189"/>
      <c r="F98" s="189"/>
      <c r="G98" s="189"/>
      <c r="H98" s="189"/>
      <c r="I98" s="189"/>
      <c r="J98" s="189"/>
      <c r="K98" s="189"/>
    </row>
    <row r="99" spans="1:13" x14ac:dyDescent="0.2">
      <c r="A99" s="189"/>
      <c r="B99" s="189"/>
      <c r="C99" s="189"/>
      <c r="D99" s="189"/>
      <c r="E99" s="189"/>
      <c r="F99" s="189"/>
      <c r="G99" s="189"/>
      <c r="H99" s="189"/>
      <c r="I99" s="189"/>
      <c r="J99" s="189"/>
      <c r="K99" s="189"/>
    </row>
    <row r="100" spans="1:13" x14ac:dyDescent="0.2">
      <c r="A100" s="189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</row>
    <row r="101" spans="1:13" x14ac:dyDescent="0.2">
      <c r="A101" s="189"/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</row>
    <row r="102" spans="1:13" x14ac:dyDescent="0.2">
      <c r="A102" s="189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</row>
    <row r="103" spans="1:13" x14ac:dyDescent="0.2">
      <c r="A103" s="189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</row>
    <row r="104" spans="1:13" x14ac:dyDescent="0.2">
      <c r="A104" s="189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</row>
    <row r="105" spans="1:13" x14ac:dyDescent="0.2">
      <c r="A105" s="189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</row>
    <row r="106" spans="1:13" x14ac:dyDescent="0.2">
      <c r="A106" s="189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</row>
    <row r="107" spans="1:13" x14ac:dyDescent="0.2">
      <c r="A107" s="189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</row>
    <row r="108" spans="1:13" x14ac:dyDescent="0.2">
      <c r="A108" s="189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</row>
    <row r="109" spans="1:13" ht="15" x14ac:dyDescent="0.25">
      <c r="A109" s="189"/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1"/>
      <c r="M109" s="178"/>
    </row>
    <row r="110" spans="1:13" ht="15" x14ac:dyDescent="0.25">
      <c r="A110" s="189"/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78"/>
      <c r="M110" s="51"/>
    </row>
    <row r="111" spans="1:13" ht="15" x14ac:dyDescent="0.25">
      <c r="A111" s="189"/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78"/>
      <c r="M111" s="51"/>
    </row>
    <row r="112" spans="1:13" ht="15" x14ac:dyDescent="0.25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78"/>
      <c r="M112" s="51"/>
    </row>
    <row r="113" spans="1:13" ht="15" x14ac:dyDescent="0.25">
      <c r="A113" s="189"/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78"/>
      <c r="M113" s="178"/>
    </row>
    <row r="114" spans="1:13" ht="17.25" x14ac:dyDescent="0.4">
      <c r="A114" s="189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79"/>
      <c r="M114" s="180"/>
    </row>
    <row r="115" spans="1:13" ht="15" x14ac:dyDescent="0.25">
      <c r="A115" s="189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1"/>
      <c r="M115" s="181"/>
    </row>
    <row r="116" spans="1:13" ht="15" x14ac:dyDescent="0.25">
      <c r="A116" s="189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1"/>
      <c r="M116" s="8"/>
    </row>
    <row r="117" spans="1:13" ht="15" x14ac:dyDescent="0.25">
      <c r="A117" s="189"/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1"/>
      <c r="M117" s="181"/>
    </row>
    <row r="118" spans="1:13" ht="15" x14ac:dyDescent="0.25">
      <c r="A118" s="189"/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1"/>
      <c r="M118" s="182"/>
    </row>
    <row r="119" spans="1:13" ht="15" x14ac:dyDescent="0.25">
      <c r="A119" s="189"/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1"/>
      <c r="M119" s="8"/>
    </row>
    <row r="120" spans="1:13" ht="15" x14ac:dyDescent="0.25">
      <c r="A120" s="189"/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1"/>
      <c r="M120" s="8"/>
    </row>
    <row r="121" spans="1:13" ht="15" x14ac:dyDescent="0.25">
      <c r="A121" s="189"/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1"/>
      <c r="M121" s="8"/>
    </row>
    <row r="122" spans="1:13" ht="15" x14ac:dyDescent="0.25">
      <c r="A122" s="189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1"/>
      <c r="M122" s="8"/>
    </row>
    <row r="123" spans="1:13" ht="15" x14ac:dyDescent="0.25">
      <c r="A123" s="189"/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1"/>
      <c r="M123" s="8"/>
    </row>
    <row r="124" spans="1:13" ht="15" x14ac:dyDescent="0.25">
      <c r="A124" s="189"/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1"/>
      <c r="M124" s="8"/>
    </row>
    <row r="125" spans="1:13" ht="15" x14ac:dyDescent="0.25">
      <c r="A125" s="189"/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1"/>
      <c r="M125" s="181"/>
    </row>
    <row r="126" spans="1:13" ht="17.25" x14ac:dyDescent="0.4">
      <c r="A126" s="189"/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1"/>
      <c r="M126" s="180"/>
    </row>
    <row r="127" spans="1:13" ht="15" x14ac:dyDescent="0.25">
      <c r="A127" s="189"/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1"/>
      <c r="M127" s="8"/>
    </row>
    <row r="128" spans="1:13" ht="15" x14ac:dyDescent="0.25">
      <c r="A128" s="189"/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1"/>
      <c r="M128" s="8"/>
    </row>
    <row r="129" spans="1:13" ht="15" x14ac:dyDescent="0.25">
      <c r="A129" s="189"/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1"/>
      <c r="M129" s="8"/>
    </row>
    <row r="130" spans="1:13" ht="15" x14ac:dyDescent="0.25">
      <c r="A130" s="189"/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1"/>
      <c r="M130" s="8"/>
    </row>
    <row r="131" spans="1:13" ht="15" x14ac:dyDescent="0.25">
      <c r="A131" s="189"/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1"/>
      <c r="M131" s="8"/>
    </row>
    <row r="132" spans="1:13" ht="15" x14ac:dyDescent="0.25">
      <c r="A132" s="189"/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1"/>
      <c r="M132" s="8"/>
    </row>
    <row r="133" spans="1:13" ht="15" x14ac:dyDescent="0.25">
      <c r="A133" s="189"/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1"/>
      <c r="M133" s="8"/>
    </row>
    <row r="134" spans="1:13" ht="15" x14ac:dyDescent="0.25">
      <c r="A134" s="189"/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1"/>
      <c r="M134" s="8"/>
    </row>
    <row r="135" spans="1:13" ht="15" x14ac:dyDescent="0.25">
      <c r="A135" s="189"/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1"/>
      <c r="M135" s="8"/>
    </row>
    <row r="136" spans="1:13" ht="15" x14ac:dyDescent="0.25">
      <c r="A136" s="189"/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1"/>
      <c r="M136" s="8"/>
    </row>
    <row r="137" spans="1:13" ht="15" x14ac:dyDescent="0.25">
      <c r="A137" s="189"/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1"/>
      <c r="M137" s="181"/>
    </row>
    <row r="138" spans="1:13" ht="17.25" x14ac:dyDescent="0.4">
      <c r="A138" s="189"/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1"/>
      <c r="M138" s="180"/>
    </row>
    <row r="139" spans="1:13" ht="15" x14ac:dyDescent="0.25">
      <c r="A139" s="189"/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1"/>
      <c r="M139" s="8"/>
    </row>
    <row r="140" spans="1:13" ht="15" x14ac:dyDescent="0.25">
      <c r="A140" s="189"/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1"/>
      <c r="M140" s="8"/>
    </row>
    <row r="141" spans="1:13" ht="15" x14ac:dyDescent="0.25">
      <c r="A141" s="189"/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1"/>
      <c r="M141" s="8"/>
    </row>
    <row r="142" spans="1:13" ht="15" x14ac:dyDescent="0.25">
      <c r="A142" s="189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1"/>
      <c r="M142" s="8"/>
    </row>
    <row r="143" spans="1:13" ht="15" x14ac:dyDescent="0.25">
      <c r="A143" s="189"/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1"/>
      <c r="M143" s="8"/>
    </row>
    <row r="144" spans="1:13" ht="15" x14ac:dyDescent="0.25">
      <c r="A144" s="189"/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1"/>
      <c r="M144" s="8"/>
    </row>
    <row r="145" spans="1:13" ht="15" x14ac:dyDescent="0.25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1"/>
      <c r="M145" s="8"/>
    </row>
    <row r="146" spans="1:13" ht="15" x14ac:dyDescent="0.25">
      <c r="A146" s="189"/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1"/>
      <c r="M146" s="8"/>
    </row>
    <row r="147" spans="1:13" ht="15" x14ac:dyDescent="0.25">
      <c r="A147" s="189"/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1"/>
      <c r="M147" s="8"/>
    </row>
    <row r="148" spans="1:13" ht="15" x14ac:dyDescent="0.25">
      <c r="A148" s="189"/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1"/>
      <c r="M148" s="8"/>
    </row>
    <row r="149" spans="1:13" ht="15" x14ac:dyDescent="0.25">
      <c r="A149" s="189"/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1"/>
      <c r="M149" s="8"/>
    </row>
    <row r="150" spans="1:13" ht="15" x14ac:dyDescent="0.25">
      <c r="A150" s="189"/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1"/>
      <c r="M150" s="8"/>
    </row>
    <row r="151" spans="1:13" ht="15" x14ac:dyDescent="0.25">
      <c r="A151" s="189"/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1"/>
      <c r="M151" s="8"/>
    </row>
    <row r="152" spans="1:13" ht="15" x14ac:dyDescent="0.25">
      <c r="A152" s="189"/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1"/>
      <c r="M152" s="8"/>
    </row>
    <row r="153" spans="1:13" ht="15" x14ac:dyDescent="0.25">
      <c r="A153" s="189"/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1"/>
      <c r="M153" s="8"/>
    </row>
    <row r="154" spans="1:13" ht="15" x14ac:dyDescent="0.25">
      <c r="A154" s="189"/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1"/>
      <c r="M154" s="8"/>
    </row>
    <row r="155" spans="1:13" ht="15" x14ac:dyDescent="0.25">
      <c r="A155" s="189"/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1"/>
      <c r="M155" s="8"/>
    </row>
    <row r="156" spans="1:13" ht="15" x14ac:dyDescent="0.25">
      <c r="A156" s="189"/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1"/>
      <c r="M156" s="8"/>
    </row>
    <row r="157" spans="1:13" ht="15" x14ac:dyDescent="0.25">
      <c r="A157" s="189"/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1"/>
      <c r="M157" s="8"/>
    </row>
    <row r="158" spans="1:13" ht="15" x14ac:dyDescent="0.25">
      <c r="A158" s="189"/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1"/>
      <c r="M158" s="8"/>
    </row>
    <row r="159" spans="1:13" ht="15" x14ac:dyDescent="0.25">
      <c r="L159" s="11"/>
      <c r="M159" s="8"/>
    </row>
    <row r="160" spans="1:13" ht="15" x14ac:dyDescent="0.25">
      <c r="L160" s="11"/>
      <c r="M160" s="8"/>
    </row>
    <row r="161" spans="12:13" ht="15" x14ac:dyDescent="0.25">
      <c r="L161" s="11"/>
      <c r="M161" s="182"/>
    </row>
    <row r="162" spans="12:13" ht="15" x14ac:dyDescent="0.25">
      <c r="L162" s="11"/>
      <c r="M162" s="8"/>
    </row>
    <row r="163" spans="12:13" ht="15" x14ac:dyDescent="0.25">
      <c r="L163" s="11"/>
      <c r="M163" s="8"/>
    </row>
    <row r="164" spans="12:13" ht="15" x14ac:dyDescent="0.25">
      <c r="L164" s="11"/>
      <c r="M164" s="8"/>
    </row>
    <row r="165" spans="12:13" ht="15" x14ac:dyDescent="0.25">
      <c r="L165" s="11"/>
      <c r="M165" s="15"/>
    </row>
    <row r="166" spans="12:13" ht="15" x14ac:dyDescent="0.25">
      <c r="L166" s="11"/>
      <c r="M166" s="8"/>
    </row>
    <row r="167" spans="12:13" ht="15" x14ac:dyDescent="0.25">
      <c r="L167" s="11"/>
      <c r="M167" s="8"/>
    </row>
    <row r="168" spans="12:13" ht="15" x14ac:dyDescent="0.25">
      <c r="L168" s="11"/>
      <c r="M168" s="8"/>
    </row>
    <row r="169" spans="12:13" ht="15" x14ac:dyDescent="0.25">
      <c r="L169" s="11"/>
      <c r="M169" s="8"/>
    </row>
    <row r="170" spans="12:13" ht="15" x14ac:dyDescent="0.25">
      <c r="L170" s="11"/>
      <c r="M170" s="8"/>
    </row>
    <row r="171" spans="12:13" ht="15" x14ac:dyDescent="0.25">
      <c r="L171" s="11"/>
      <c r="M171" s="8"/>
    </row>
    <row r="172" spans="12:13" ht="17.25" x14ac:dyDescent="0.4">
      <c r="L172" s="183"/>
      <c r="M172" s="184"/>
    </row>
    <row r="173" spans="12:13" ht="15" x14ac:dyDescent="0.25">
      <c r="L173" s="11"/>
      <c r="M173" s="185"/>
    </row>
    <row r="174" spans="12:13" ht="15" x14ac:dyDescent="0.25">
      <c r="L174" s="11"/>
      <c r="M174" s="8"/>
    </row>
    <row r="175" spans="12:13" ht="15" x14ac:dyDescent="0.25">
      <c r="L175" s="11"/>
      <c r="M175" s="8"/>
    </row>
    <row r="176" spans="12:13" ht="15" x14ac:dyDescent="0.25">
      <c r="L176" s="11"/>
      <c r="M176" s="8"/>
    </row>
    <row r="177" spans="12:13" ht="15" x14ac:dyDescent="0.25">
      <c r="L177" s="11"/>
      <c r="M177" s="8"/>
    </row>
    <row r="178" spans="12:13" ht="17.25" x14ac:dyDescent="0.4">
      <c r="L178" s="183"/>
      <c r="M178" s="184"/>
    </row>
    <row r="179" spans="12:13" ht="15" x14ac:dyDescent="0.25">
      <c r="L179" s="11"/>
      <c r="M179" s="185"/>
    </row>
    <row r="180" spans="12:13" ht="15" x14ac:dyDescent="0.25">
      <c r="L180" s="11"/>
      <c r="M180" s="16"/>
    </row>
    <row r="181" spans="12:13" ht="15" x14ac:dyDescent="0.25">
      <c r="L181" s="11"/>
      <c r="M181" s="16"/>
    </row>
    <row r="182" spans="12:13" ht="15" x14ac:dyDescent="0.25">
      <c r="L182" s="11"/>
      <c r="M182" s="185"/>
    </row>
    <row r="183" spans="12:13" x14ac:dyDescent="0.2">
      <c r="L183" s="485"/>
      <c r="M183" s="486"/>
    </row>
    <row r="184" spans="12:13" x14ac:dyDescent="0.2">
      <c r="L184" s="485"/>
      <c r="M184" s="486"/>
    </row>
    <row r="185" spans="12:13" ht="15" x14ac:dyDescent="0.25">
      <c r="L185" s="11"/>
      <c r="M185" s="8"/>
    </row>
    <row r="186" spans="12:13" ht="15" x14ac:dyDescent="0.25">
      <c r="L186" s="11"/>
      <c r="M186" s="8"/>
    </row>
    <row r="187" spans="12:13" ht="15" x14ac:dyDescent="0.25">
      <c r="L187" s="11"/>
      <c r="M187" s="185"/>
    </row>
    <row r="188" spans="12:13" ht="15" x14ac:dyDescent="0.25">
      <c r="L188" s="183"/>
      <c r="M188" s="186"/>
    </row>
  </sheetData>
  <mergeCells count="10">
    <mergeCell ref="A1:O1"/>
    <mergeCell ref="A2:O2"/>
    <mergeCell ref="A4:O4"/>
    <mergeCell ref="L183:L184"/>
    <mergeCell ref="M183:M184"/>
    <mergeCell ref="A6:O6"/>
    <mergeCell ref="A7:O7"/>
    <mergeCell ref="A8:O8"/>
    <mergeCell ref="A90:O90"/>
    <mergeCell ref="A91:M91"/>
  </mergeCells>
  <pageMargins left="0.51181102362204722" right="0.51181102362204722" top="0.78740157480314965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11</vt:i4>
      </vt:variant>
    </vt:vector>
  </HeadingPairs>
  <TitlesOfParts>
    <vt:vector size="24" baseType="lpstr">
      <vt:lpstr>ATIVO</vt:lpstr>
      <vt:lpstr>PASSIVO </vt:lpstr>
      <vt:lpstr>DRE</vt:lpstr>
      <vt:lpstr>DRE </vt:lpstr>
      <vt:lpstr>DFC</vt:lpstr>
      <vt:lpstr>Página1 (2)</vt:lpstr>
      <vt:lpstr>ACUMULADO 2020</vt:lpstr>
      <vt:lpstr>ACUM 2019 (2)</vt:lpstr>
      <vt:lpstr>DFC </vt:lpstr>
      <vt:lpstr>Planilha1</vt:lpstr>
      <vt:lpstr>DMPL22 trimestral</vt:lpstr>
      <vt:lpstr>D.R.A</vt:lpstr>
      <vt:lpstr>DMPL20</vt:lpstr>
      <vt:lpstr>ATIVO!Area_de_impressao</vt:lpstr>
      <vt:lpstr>D.R.A!Area_de_impressao</vt:lpstr>
      <vt:lpstr>DFC!Area_de_impressao</vt:lpstr>
      <vt:lpstr>'DFC '!Area_de_impressao</vt:lpstr>
      <vt:lpstr>DMPL20!Area_de_impressao</vt:lpstr>
      <vt:lpstr>'DMPL22 trimestral'!Area_de_impressao</vt:lpstr>
      <vt:lpstr>DRE!Area_de_impressao</vt:lpstr>
      <vt:lpstr>'DRE '!Area_de_impressao</vt:lpstr>
      <vt:lpstr>'PASSIVO '!Area_de_impressao</vt:lpstr>
      <vt:lpstr>ATIVO!Titulos_de_impressao</vt:lpstr>
      <vt:lpstr>'PASSIVO 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Antônio Erinaldo Freire Malveira</cp:lastModifiedBy>
  <cp:lastPrinted>2023-02-07T13:09:40Z</cp:lastPrinted>
  <dcterms:created xsi:type="dcterms:W3CDTF">2020-09-19T01:22:08Z</dcterms:created>
  <dcterms:modified xsi:type="dcterms:W3CDTF">2023-03-14T17:47:31Z</dcterms:modified>
</cp:coreProperties>
</file>